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390" windowWidth="28830" windowHeight="6450" tabRatio="790" firstSheet="8" activeTab="15"/>
  </bookViews>
  <sheets>
    <sheet name="FP prihodi 2021." sheetId="1" r:id="rId1"/>
    <sheet name="FP rashodi 2021." sheetId="2" r:id="rId2"/>
    <sheet name="Plan DI 2021." sheetId="3" r:id="rId3"/>
    <sheet name="Plan zaduživanja i otplata" sheetId="4" r:id="rId4"/>
    <sheet name="Rashodi 2021. HRZZ POSLOVANJE" sheetId="5" r:id="rId5"/>
    <sheet name="Rashodi 2021. HRZZ PROJEKTI" sheetId="6" r:id="rId6"/>
    <sheet name="Rashodi 2021. HRZZ DOK" sheetId="7" r:id="rId7"/>
    <sheet name="Rashodi 2021. ESF PZS" sheetId="8" r:id="rId8"/>
    <sheet name="Rashodi 2021. ESF DOK" sheetId="9" r:id="rId9"/>
    <sheet name="Rashodi 2021 ESF POSTDOK" sheetId="10" r:id="rId10"/>
    <sheet name="Rashodi 2021. TTPP" sheetId="11" r:id="rId11"/>
    <sheet name="Rashodi 2021. CSRP" sheetId="12" r:id="rId12"/>
    <sheet name="Rashodi 2021. QuantERA" sheetId="13" r:id="rId13"/>
    <sheet name="Rashodi 2021. QuantERA II" sheetId="14" r:id="rId14"/>
    <sheet name="Rashodi 2021. CHANSE" sheetId="15" r:id="rId15"/>
    <sheet name="Rashodi 2021. BlueBio" sheetId="16" r:id="rId16"/>
  </sheets>
  <definedNames>
    <definedName name="_xlnm.Print_Area" localSheetId="0">'FP prihodi 2021.'!$A$1:$E$52</definedName>
    <definedName name="_xlnm.Print_Area" localSheetId="1">'FP rashodi 2021.'!$A$1:$E$83</definedName>
    <definedName name="_xlnm.Print_Area" localSheetId="2">'Plan DI 2021.'!$A$1:$E$25</definedName>
    <definedName name="_xlnm.Print_Area" localSheetId="3">'Plan zaduživanja i otplata'!$A$1:$E$13</definedName>
    <definedName name="_xlnm.Print_Area" localSheetId="9">'Rashodi 2021 ESF POSTDOK'!$A$1:$E$49</definedName>
    <definedName name="_xlnm.Print_Area" localSheetId="15">'Rashodi 2021. BlueBio'!$A$1:$E$29</definedName>
    <definedName name="_xlnm.Print_Area" localSheetId="14">'Rashodi 2021. CHANSE'!$A$1:$E$27</definedName>
    <definedName name="_xlnm.Print_Area" localSheetId="11">'Rashodi 2021. CSRP'!$A$1:$E$35</definedName>
    <definedName name="_xlnm.Print_Area" localSheetId="8">'Rashodi 2021. ESF DOK'!$A$1:$F$57</definedName>
    <definedName name="_xlnm.Print_Area" localSheetId="7">'Rashodi 2021. ESF PZS'!$A$1:$E$46</definedName>
    <definedName name="_xlnm.Print_Area" localSheetId="6">'Rashodi 2021. HRZZ DOK'!$A$1:$E$27</definedName>
    <definedName name="_xlnm.Print_Area" localSheetId="4">'Rashodi 2021. HRZZ POSLOVANJE'!$A$1:$E$91</definedName>
    <definedName name="_xlnm.Print_Area" localSheetId="5">'Rashodi 2021. HRZZ PROJEKTI'!$A$1:$E$32</definedName>
    <definedName name="_xlnm.Print_Area" localSheetId="12">'Rashodi 2021. QuantERA'!$A$1:$E$31</definedName>
    <definedName name="_xlnm.Print_Area" localSheetId="13">'Rashodi 2021. QuantERA II'!$A$1:$E$27</definedName>
    <definedName name="_xlnm.Print_Area" localSheetId="10">'Rashodi 2021. TTPP'!$A$1:$E$33</definedName>
    <definedName name="_xlnm.Print_Titles" localSheetId="1">'FP rashodi 2021.'!$15:$17</definedName>
  </definedNames>
  <calcPr fullCalcOnLoad="1"/>
</workbook>
</file>

<file path=xl/sharedStrings.xml><?xml version="1.0" encoding="utf-8"?>
<sst xmlns="http://schemas.openxmlformats.org/spreadsheetml/2006/main" count="598" uniqueCount="149">
  <si>
    <t>Naziv računa</t>
  </si>
  <si>
    <t>Plaće</t>
  </si>
  <si>
    <t>Plaće za redovan rad</t>
  </si>
  <si>
    <t>Doprinosi na plaće</t>
  </si>
  <si>
    <t xml:space="preserve">Doprinosi za zdravstveno osiguranje </t>
  </si>
  <si>
    <t>Materijalni rashodi</t>
  </si>
  <si>
    <t>Službena putovanja</t>
  </si>
  <si>
    <t>Naknade za prijevoz, za rad na terenu i odvojeni život</t>
  </si>
  <si>
    <t>Rashodi za materijal i energiju</t>
  </si>
  <si>
    <t>Uredski materijal i ostali materijalni rashodi</t>
  </si>
  <si>
    <t>Energija</t>
  </si>
  <si>
    <t>Rashodi za usluge</t>
  </si>
  <si>
    <t>Usluge telefona, pošte i prijevoza</t>
  </si>
  <si>
    <t>Usluge tekućeg i investicijskog održavanja</t>
  </si>
  <si>
    <t>Komunalne usluge</t>
  </si>
  <si>
    <t>Zakupnine i najamnine</t>
  </si>
  <si>
    <t>Intelektualne i osobne usluge</t>
  </si>
  <si>
    <t>Ostale usluge</t>
  </si>
  <si>
    <t>Usluge promidžbe i informiranja</t>
  </si>
  <si>
    <t>Ostali prihodi</t>
  </si>
  <si>
    <t>Račun rashoda</t>
  </si>
  <si>
    <t>Hrvatska zaklada za znanost</t>
  </si>
  <si>
    <t>Naziv neprofitne organizacije:</t>
  </si>
  <si>
    <t>Prihodi od imovine</t>
  </si>
  <si>
    <t>Prihodi od donacija</t>
  </si>
  <si>
    <t>PLAN PRIHODA</t>
  </si>
  <si>
    <t>UKUPNO PRIHODI</t>
  </si>
  <si>
    <t>UKUPNO RASHODI</t>
  </si>
  <si>
    <t>Rashodi amortizacije</t>
  </si>
  <si>
    <t>Naknade troškova radnicima</t>
  </si>
  <si>
    <t>Naknade troškova službenih putovanja</t>
  </si>
  <si>
    <t>Naknade ostalim osobama izvan radnog odnosa</t>
  </si>
  <si>
    <t>Naknade za obavljanje aktivnosti</t>
  </si>
  <si>
    <t>Računalne usluge</t>
  </si>
  <si>
    <t>Amortizacija</t>
  </si>
  <si>
    <t>Reprezentacija</t>
  </si>
  <si>
    <t>Članarine</t>
  </si>
  <si>
    <t>Financijski rashodi</t>
  </si>
  <si>
    <t>Negativne tečajne razlike</t>
  </si>
  <si>
    <t>Ostali rashodi</t>
  </si>
  <si>
    <t>0221</t>
  </si>
  <si>
    <t>Iznosi u kunama, bez lipa</t>
  </si>
  <si>
    <t>Neproizvedena dugotrajna imovina</t>
  </si>
  <si>
    <t>Nematerijalna imovina</t>
  </si>
  <si>
    <t>01</t>
  </si>
  <si>
    <t>012</t>
  </si>
  <si>
    <t>02</t>
  </si>
  <si>
    <t>Proizvedena dugotrajna imovina</t>
  </si>
  <si>
    <t>022</t>
  </si>
  <si>
    <t>Postrojenja i oprema</t>
  </si>
  <si>
    <t>026</t>
  </si>
  <si>
    <t>Nematerijalna proizvedena imovina</t>
  </si>
  <si>
    <t>Uredska oprema i namještaj</t>
  </si>
  <si>
    <t>Račun izdatka</t>
  </si>
  <si>
    <t>UKUPNO IZDATCI</t>
  </si>
  <si>
    <t>PLAN RASHODA</t>
  </si>
  <si>
    <t>0124</t>
  </si>
  <si>
    <t>Zatezne kamate</t>
  </si>
  <si>
    <t>Neotpisana vrijednost i drugi rashodi otuđene i rashodovane dugotrajne imovine</t>
  </si>
  <si>
    <t>Stručno usavršavanje radnika</t>
  </si>
  <si>
    <t>Rashodi za radnike</t>
  </si>
  <si>
    <t>Ostali rashodi za radnike</t>
  </si>
  <si>
    <t>Sitni inventar</t>
  </si>
  <si>
    <t>Bankarske usluge i usluge platnog prometa</t>
  </si>
  <si>
    <t>predsjednik Upravnog odbora
akademik Dario Vretenar</t>
  </si>
  <si>
    <t xml:space="preserve">Naziv neprofitne organizacije: </t>
  </si>
  <si>
    <t>PLAN NABAVE DUGOTRAJNE IMOVINE</t>
  </si>
  <si>
    <t>Račun prihoda</t>
  </si>
  <si>
    <t>Prihodi od financijske imovine</t>
  </si>
  <si>
    <t>Prihodi od pozitivnih tečajnih razlika</t>
  </si>
  <si>
    <t>Prihodi od donacija iz proračuna</t>
  </si>
  <si>
    <t>Prihodi od donacija iz državnog proračuna (TENURE TRACK)</t>
  </si>
  <si>
    <t>Prihodi od donacija iz državnog proračuna (HRVATSKO-ŠVICARSKI ISTRAŽIVAČKI PROGRAM)</t>
  </si>
  <si>
    <t xml:space="preserve">SVEUKUPNO </t>
  </si>
  <si>
    <t>Naknade članovima u predstavničkim i izvršnim tijelima, povjerenstvima i slično</t>
  </si>
  <si>
    <t>Naknade ostalih troškova</t>
  </si>
  <si>
    <t>Ostali nespomenuti materijalni rashodi</t>
  </si>
  <si>
    <t>Otpisana potraživanja</t>
  </si>
  <si>
    <t>Naknade za prijevoz, za rad na terenu i odvojen život</t>
  </si>
  <si>
    <t>Ostali financijski rashodi</t>
  </si>
  <si>
    <t>Ostali nespomenuti rashodi</t>
  </si>
  <si>
    <t>Prihodi od donacija (iz proračuna)</t>
  </si>
  <si>
    <t>Doprinosi za zapošljavanje osoba s invaliditetom</t>
  </si>
  <si>
    <t xml:space="preserve">Prihodi od donacija </t>
  </si>
  <si>
    <t>SVEUKUPNO</t>
  </si>
  <si>
    <t>Ostala prava - ulaganja na tuđoj imovini radi prava korištenja</t>
  </si>
  <si>
    <t>Prihodi od donacija iz državnog proračuna (NEOS sustav)</t>
  </si>
  <si>
    <t>Donacije</t>
  </si>
  <si>
    <t>Tekuće donacije</t>
  </si>
  <si>
    <t>Tekuće donacije iz EU sredstava</t>
  </si>
  <si>
    <t>Prihodi od donacija iz državnog proračuna za EU projekte</t>
  </si>
  <si>
    <t>Prihodi od donacija iz državnog proračuna za EU projekte (ESF - ZNANSTVENA SURADNJA)</t>
  </si>
  <si>
    <t>Prihodi od donacija iz državnog proračuna za EU projekte (ESF - DOKTORANDI)</t>
  </si>
  <si>
    <t>Prihodi od donacija iz državnog proračuna (projekti Zaklade)</t>
  </si>
  <si>
    <t>Prihodi od donacija iz državnog proračuna (doktorandi Zaklade)</t>
  </si>
  <si>
    <t>Prihodi od donacija iz državnog proračuna (projekti Zaklade-poslovanje Zaklade)</t>
  </si>
  <si>
    <t>Prihodi od donacija iz državnog proračuna (doktorandi Zaklade-poslovanje Zaklade)</t>
  </si>
  <si>
    <t>Prihodi od donacija iz državnog proračuna za EU projekte (ESF - POSLIJEDOKTORANDI)</t>
  </si>
  <si>
    <t>Plan 2021.</t>
  </si>
  <si>
    <t xml:space="preserve">Korištenje prenesenog viška prihoda u 2021. godini </t>
  </si>
  <si>
    <t>Prihodi od inozemnih vlada i međunarodnih organizacija</t>
  </si>
  <si>
    <t>Prihodi od inozemnih vlada i međunarodnih organizacija (CHANSE)</t>
  </si>
  <si>
    <t>Prihodi od inozemnih vlada i međunarodnih organizacija (BlueBio)</t>
  </si>
  <si>
    <t>Prihodi od donacija iz državnog proračuna za EU projekte (BlueBio ERA-NET COFUND)</t>
  </si>
  <si>
    <t>Prihodi od inozemnih vlada i međunarodnih organizacija (QuantERA II)</t>
  </si>
  <si>
    <t>Prihodi od naknade štete i refundacija</t>
  </si>
  <si>
    <t>Prihodi od refundacija</t>
  </si>
  <si>
    <t>Račun 5221 Ukupno preneseni višak prihoda iz prethodnih godina za korištenje u 2021. godini</t>
  </si>
  <si>
    <t xml:space="preserve"> PLAN ZADUŽIVANJA I OTPLATA za 2021. godinu</t>
  </si>
  <si>
    <t>Zaklada će tijekom 2021. godine i dalje imati sklopljen Ugovor o izdavanju i korištenju Business MasterCard kartice (izdane na ime predsjednika Upravnog odbora i izvršne direktorice Zaklade) sa Zagrebačkom bankom d.d. U svrhu osiguranja naplate tražbine Zagrebačke banke d.d. na temelju navedenog Ugovora, Zaklada je Zagrebačkoj banci d.d. bila dužna dostaviti instrument osiguranja odnosno zadužnicu na iznos od 173.580 kuna, a koju Zagrebačka banka d.d. ima pravo zadržati do trenutka raskida Ugovora.</t>
  </si>
  <si>
    <t>Zaklada se tijekom 2021. godine neće dugoročno niti kratkoročno zaduživati te neće imati izdatke po osnovi otplata.</t>
  </si>
  <si>
    <t>Zaklada tijekom 2021. godine neće odobravati zajmove.</t>
  </si>
  <si>
    <t>Razlika između prihoda i rashoda u 2021. godini koja će biti prenesena kao odgođeni prihod u naredna razdoblja</t>
  </si>
  <si>
    <t>Ostatak primljenog predujma iz 2021. godine koji će se prenijeti u naredna razdoblja</t>
  </si>
  <si>
    <t>Kamate na depozite po viđenju (sredstva na bankovnim računima)</t>
  </si>
  <si>
    <t>Prihodi od inozemnih vlada i međunarodnih organizacija (QuantERA)</t>
  </si>
  <si>
    <t>Razlika između prihoda i rashoda u 2021. godini koja će se pokriti iz prenesenog viška iz prethodnih godina</t>
  </si>
  <si>
    <t>REBALANS FINANCIJSKOG PLANA - Plan prihoda za 2021. godinu (sve aktivnosti Zaklade)</t>
  </si>
  <si>
    <t>REBALANS FINANCIJSKOG PLANA - Plan rashoda za 2021. godinu (aktivnost "ERA-NET COFUND projekt Plavo gospodarstvo - Razvoj potencijala vodenih organizama (BlueBio)")</t>
  </si>
  <si>
    <t>REBALANS FINANCIJSKOG PLANA - Plan rashoda za 2021. godinu (aktivnost "ERA-NET COFUND CHANSE")</t>
  </si>
  <si>
    <t>REBALANS FINANCIJSKOG PLANA - Plan rashoda za 2021. godinu (aktivnost "ERA-NET Cofund in Quantum Technologies
(QuantERA II)")</t>
  </si>
  <si>
    <t>REBALANS FINANCIJSKOG PLANA - Plan rashoda za 2021. godinu (aktivnost "ERA-NET Cofund in Quantum Technologies
(QuantERA)")</t>
  </si>
  <si>
    <t>REBALANS FINANCIJSKOG PLANA - Plan rashoda za 2021. godinu (aktivnost Hrvatsko- švicarski istraživački program)</t>
  </si>
  <si>
    <t>REBALANS FINANCIJSKOG PLANA - Plan rashoda za 2021. godinu (aktivnost Projekt usavršavanja mladih istraživača - poslijedoktorandi)</t>
  </si>
  <si>
    <t>REBALANS FINANCIJSKOG PLANA - Plan rashoda za 2021. godinu (aktivnost Projekt razvoja karijera mladih istraživača – izobrazba novih doktora znanosti)</t>
  </si>
  <si>
    <t>REBALANS FINANCIJSKOG PLANA - Plan rashoda za 2021. godinu (aktivnost Program suradnje s hrvatskim znanstvenicima u dijaspori "Znanstvena suradnja")</t>
  </si>
  <si>
    <t>REBALANS FINANCIJSKOG PLANA - Plan rashoda za 2021. godinu (aktivnost PROGRAM DOKTORANADA I POSLIJEDOKTORANADA ZAKLADE)</t>
  </si>
  <si>
    <t xml:space="preserve">REBALANS FINANCIJSKOG PLANA - Plan rashoda za 2021. godinu (aktivnost PROJEKTNO FINANCIRANJE ZNANSTVENE DJELATNOSTI - PROJEKTI ZAKLADE) </t>
  </si>
  <si>
    <t xml:space="preserve">REBALANS FINANCIJSKOG PLANA - Plan rashoda za 2021. godinu (aktivnost POSLOVANJE ZAKLADE) </t>
  </si>
  <si>
    <t>IZMJENA PLANA NABAVE DUGOTRAJNE IMOVINE za 2021. godinu (sve aktivnosti Zaklade)</t>
  </si>
  <si>
    <t>REBALANS FINANCIJSKOG PLANA - Plan rashoda za 2021. godinu (sve aktivnosti Zaklade)</t>
  </si>
  <si>
    <t>Ostatak odgođenog prihoda iz 2021. godine koji će se prenijeti u naredna razdoblja (pod-aktivnost Projekti)</t>
  </si>
  <si>
    <t>Ostala nematerijalna proizvedena imovina</t>
  </si>
  <si>
    <t>0263</t>
  </si>
  <si>
    <t>REBALANS FINANCIJSKOG PLANA - Plan rashoda za 2021. godinu (aktivnost Tenure Track Pilot Program)</t>
  </si>
  <si>
    <t xml:space="preserve">Ostatak primljenog predujma koji će se prenijeti u naredna razdoblja </t>
  </si>
  <si>
    <t>Naknade za obavljanje aktivnosti vanjskih suradnika</t>
  </si>
  <si>
    <t>Razlika između prihoda i rashoda u 2021. godini koja će se prenijeti u naredna razdoblja kao preneseni višak prihoda</t>
  </si>
  <si>
    <t>Razlika između prihoda i rashoda u 2021. godini koja predstavlja manjak prihoda tekuće godine</t>
  </si>
  <si>
    <t>Razlika između prihoda i rashoda u 2021. godini koja će se pokriti iz raspoloživog prenesenog viška iz prethodnih godina</t>
  </si>
  <si>
    <t xml:space="preserve">Manjak prihoda iz prethodnih razdoblja </t>
  </si>
  <si>
    <t>Prihodi od donacija iz proračuna jedinica lokalne i područne (regionalne) samouprave (Grad Opatija)</t>
  </si>
  <si>
    <t>Osnovna imovina Zaklade koja se ne smije trošiti</t>
  </si>
  <si>
    <t>Korištenje prenesenog viška prihoda u 2021. godini</t>
  </si>
  <si>
    <t>Ostali nespomenuti prihodi (povrati od projekata)</t>
  </si>
  <si>
    <t>Ostali nespomenuti prihodi</t>
  </si>
  <si>
    <t>Klasa: 120-02/21-02/11</t>
  </si>
  <si>
    <t>Ur. broj: 63-02/01-21-2</t>
  </si>
  <si>
    <t>Zagreb, 27.05.2021.</t>
  </si>
</sst>
</file>

<file path=xl/styles.xml><?xml version="1.0" encoding="utf-8"?>
<styleSheet xmlns="http://schemas.openxmlformats.org/spreadsheetml/2006/main">
  <numFmts count="1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#,##0_ ;\-#,##0\ 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8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6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10"/>
      <name val="Times New Roman"/>
      <family val="1"/>
    </font>
    <font>
      <b/>
      <i/>
      <sz val="14"/>
      <color indexed="8"/>
      <name val="Arial"/>
      <family val="2"/>
    </font>
    <font>
      <sz val="10"/>
      <color indexed="10"/>
      <name val="Arial"/>
      <family val="2"/>
    </font>
    <font>
      <b/>
      <i/>
      <sz val="12"/>
      <color indexed="10"/>
      <name val="Arial"/>
      <family val="2"/>
    </font>
    <font>
      <b/>
      <i/>
      <sz val="11"/>
      <color indexed="10"/>
      <name val="Arial"/>
      <family val="2"/>
    </font>
    <font>
      <b/>
      <sz val="12"/>
      <color indexed="10"/>
      <name val="Arial"/>
      <family val="2"/>
    </font>
    <font>
      <sz val="14"/>
      <color indexed="8"/>
      <name val="Arial"/>
      <family val="2"/>
    </font>
    <font>
      <b/>
      <sz val="1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6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i/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rgb="FFFF0000"/>
      <name val="Times New Roman"/>
      <family val="1"/>
    </font>
    <font>
      <b/>
      <i/>
      <sz val="14"/>
      <color theme="1"/>
      <name val="Arial"/>
      <family val="2"/>
    </font>
    <font>
      <sz val="10"/>
      <color rgb="FFFF0000"/>
      <name val="Arial"/>
      <family val="2"/>
    </font>
    <font>
      <b/>
      <i/>
      <sz val="12"/>
      <color rgb="FFFF0000"/>
      <name val="Arial"/>
      <family val="2"/>
    </font>
    <font>
      <b/>
      <i/>
      <sz val="11"/>
      <color rgb="FFFF0000"/>
      <name val="Arial"/>
      <family val="2"/>
    </font>
    <font>
      <b/>
      <sz val="12"/>
      <color rgb="FFFF0000"/>
      <name val="Arial"/>
      <family val="2"/>
    </font>
    <font>
      <sz val="14"/>
      <color theme="1"/>
      <name val="Arial"/>
      <family val="2"/>
    </font>
    <font>
      <b/>
      <sz val="1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/>
      <right/>
      <top style="thin"/>
      <bottom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/>
    </border>
    <border>
      <left style="thin"/>
      <right style="medium"/>
      <top style="thin"/>
      <bottom/>
    </border>
    <border>
      <left style="thin"/>
      <right/>
      <top/>
      <bottom style="thin"/>
    </border>
    <border>
      <left style="thin"/>
      <right/>
      <top style="thin"/>
      <bottom/>
    </border>
    <border>
      <left style="medium"/>
      <right style="thin"/>
      <top/>
      <bottom style="thin"/>
    </border>
    <border>
      <left/>
      <right/>
      <top style="thin"/>
      <bottom style="thin"/>
    </border>
    <border>
      <left style="medium"/>
      <right>
        <color indexed="63"/>
      </right>
      <top/>
      <bottom style="thin"/>
    </border>
    <border>
      <left style="thin"/>
      <right style="medium"/>
      <top/>
      <bottom style="thin"/>
    </border>
    <border>
      <left style="medium"/>
      <right style="medium"/>
      <top style="double"/>
      <bottom style="medium"/>
    </border>
    <border>
      <left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/>
    </border>
    <border>
      <left style="thin"/>
      <right style="medium"/>
      <top>
        <color indexed="63"/>
      </top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 style="medium"/>
      <right style="thin"/>
      <top/>
      <bottom style="medium"/>
    </border>
    <border>
      <left style="thin"/>
      <right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0" fillId="0" borderId="0">
      <alignment/>
      <protection/>
    </xf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296">
    <xf numFmtId="0" fontId="0" fillId="0" borderId="0" xfId="0" applyAlignment="1">
      <alignment/>
    </xf>
    <xf numFmtId="3" fontId="3" fillId="33" borderId="10" xfId="0" applyNumberFormat="1" applyFont="1" applyFill="1" applyBorder="1" applyAlignment="1" quotePrefix="1">
      <alignment horizontal="right" vertical="center" wrapText="1"/>
    </xf>
    <xf numFmtId="3" fontId="66" fillId="33" borderId="0" xfId="0" applyNumberFormat="1" applyFont="1" applyFill="1" applyAlignment="1">
      <alignment/>
    </xf>
    <xf numFmtId="0" fontId="66" fillId="33" borderId="0" xfId="0" applyNumberFormat="1" applyFont="1" applyFill="1" applyAlignment="1">
      <alignment horizontal="center"/>
    </xf>
    <xf numFmtId="0" fontId="67" fillId="33" borderId="0" xfId="0" applyFont="1" applyFill="1" applyAlignment="1">
      <alignment/>
    </xf>
    <xf numFmtId="0" fontId="68" fillId="33" borderId="0" xfId="0" applyFont="1" applyFill="1" applyAlignment="1">
      <alignment horizontal="center" wrapText="1"/>
    </xf>
    <xf numFmtId="3" fontId="69" fillId="33" borderId="0" xfId="0" applyNumberFormat="1" applyFont="1" applyFill="1" applyBorder="1" applyAlignment="1">
      <alignment horizontal="right"/>
    </xf>
    <xf numFmtId="3" fontId="69" fillId="33" borderId="0" xfId="0" applyNumberFormat="1" applyFont="1" applyFill="1" applyBorder="1" applyAlignment="1">
      <alignment/>
    </xf>
    <xf numFmtId="3" fontId="66" fillId="33" borderId="0" xfId="0" applyNumberFormat="1" applyFont="1" applyFill="1" applyAlignment="1">
      <alignment/>
    </xf>
    <xf numFmtId="3" fontId="66" fillId="33" borderId="0" xfId="0" applyNumberFormat="1" applyFont="1" applyFill="1" applyBorder="1" applyAlignment="1">
      <alignment/>
    </xf>
    <xf numFmtId="3" fontId="70" fillId="33" borderId="11" xfId="0" applyNumberFormat="1" applyFont="1" applyFill="1" applyBorder="1" applyAlignment="1" quotePrefix="1">
      <alignment horizontal="right" wrapText="1"/>
    </xf>
    <xf numFmtId="3" fontId="71" fillId="33" borderId="12" xfId="0" applyNumberFormat="1" applyFont="1" applyFill="1" applyBorder="1" applyAlignment="1">
      <alignment vertical="center"/>
    </xf>
    <xf numFmtId="3" fontId="70" fillId="33" borderId="13" xfId="0" applyNumberFormat="1" applyFont="1" applyFill="1" applyBorder="1" applyAlignment="1">
      <alignment/>
    </xf>
    <xf numFmtId="3" fontId="72" fillId="33" borderId="14" xfId="0" applyNumberFormat="1" applyFont="1" applyFill="1" applyBorder="1" applyAlignment="1">
      <alignment horizontal="center" vertical="center"/>
    </xf>
    <xf numFmtId="3" fontId="70" fillId="33" borderId="10" xfId="0" applyNumberFormat="1" applyFont="1" applyFill="1" applyBorder="1" applyAlignment="1" quotePrefix="1">
      <alignment horizontal="right" vertical="center" wrapText="1"/>
    </xf>
    <xf numFmtId="3" fontId="69" fillId="33" borderId="14" xfId="0" applyNumberFormat="1" applyFont="1" applyFill="1" applyBorder="1" applyAlignment="1">
      <alignment vertical="center"/>
    </xf>
    <xf numFmtId="3" fontId="70" fillId="33" borderId="0" xfId="0" applyNumberFormat="1" applyFont="1" applyFill="1" applyBorder="1" applyAlignment="1">
      <alignment horizontal="left" wrapText="1"/>
    </xf>
    <xf numFmtId="3" fontId="70" fillId="33" borderId="0" xfId="0" applyNumberFormat="1" applyFont="1" applyFill="1" applyBorder="1" applyAlignment="1">
      <alignment vertical="center"/>
    </xf>
    <xf numFmtId="0" fontId="69" fillId="33" borderId="15" xfId="0" applyFont="1" applyFill="1" applyBorder="1" applyAlignment="1">
      <alignment horizontal="center" vertical="center"/>
    </xf>
    <xf numFmtId="0" fontId="69" fillId="33" borderId="16" xfId="0" applyFont="1" applyFill="1" applyBorder="1" applyAlignment="1">
      <alignment horizontal="left" vertical="center" wrapText="1"/>
    </xf>
    <xf numFmtId="3" fontId="69" fillId="33" borderId="10" xfId="0" applyNumberFormat="1" applyFont="1" applyFill="1" applyBorder="1" applyAlignment="1">
      <alignment horizontal="right" vertical="center"/>
    </xf>
    <xf numFmtId="0" fontId="72" fillId="33" borderId="15" xfId="0" applyFont="1" applyFill="1" applyBorder="1" applyAlignment="1">
      <alignment horizontal="center" vertical="center"/>
    </xf>
    <xf numFmtId="0" fontId="72" fillId="33" borderId="16" xfId="0" applyFont="1" applyFill="1" applyBorder="1" applyAlignment="1">
      <alignment horizontal="left" vertical="center" wrapText="1"/>
    </xf>
    <xf numFmtId="3" fontId="72" fillId="33" borderId="10" xfId="0" applyNumberFormat="1" applyFont="1" applyFill="1" applyBorder="1" applyAlignment="1">
      <alignment horizontal="right" vertical="center"/>
    </xf>
    <xf numFmtId="0" fontId="70" fillId="33" borderId="15" xfId="0" applyFont="1" applyFill="1" applyBorder="1" applyAlignment="1">
      <alignment horizontal="center"/>
    </xf>
    <xf numFmtId="0" fontId="70" fillId="33" borderId="16" xfId="0" applyFont="1" applyFill="1" applyBorder="1" applyAlignment="1">
      <alignment horizontal="left" wrapText="1"/>
    </xf>
    <xf numFmtId="3" fontId="70" fillId="33" borderId="10" xfId="0" applyNumberFormat="1" applyFont="1" applyFill="1" applyBorder="1" applyAlignment="1">
      <alignment horizontal="right"/>
    </xf>
    <xf numFmtId="0" fontId="72" fillId="33" borderId="15" xfId="0" applyFont="1" applyFill="1" applyBorder="1" applyAlignment="1">
      <alignment horizontal="center"/>
    </xf>
    <xf numFmtId="0" fontId="72" fillId="33" borderId="16" xfId="0" applyFont="1" applyFill="1" applyBorder="1" applyAlignment="1">
      <alignment horizontal="left" wrapText="1"/>
    </xf>
    <xf numFmtId="3" fontId="72" fillId="33" borderId="10" xfId="0" applyNumberFormat="1" applyFont="1" applyFill="1" applyBorder="1" applyAlignment="1">
      <alignment horizontal="right"/>
    </xf>
    <xf numFmtId="3" fontId="4" fillId="33" borderId="0" xfId="0" applyNumberFormat="1" applyFont="1" applyFill="1" applyAlignment="1">
      <alignment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left" vertical="center" wrapText="1"/>
    </xf>
    <xf numFmtId="3" fontId="70" fillId="33" borderId="10" xfId="0" applyNumberFormat="1" applyFont="1" applyFill="1" applyBorder="1" applyAlignment="1">
      <alignment horizontal="right" vertical="center"/>
    </xf>
    <xf numFmtId="3" fontId="73" fillId="33" borderId="17" xfId="0" applyNumberFormat="1" applyFont="1" applyFill="1" applyBorder="1" applyAlignment="1">
      <alignment wrapText="1"/>
    </xf>
    <xf numFmtId="0" fontId="70" fillId="33" borderId="15" xfId="0" applyFont="1" applyFill="1" applyBorder="1" applyAlignment="1">
      <alignment horizontal="center" vertical="center"/>
    </xf>
    <xf numFmtId="0" fontId="70" fillId="33" borderId="16" xfId="0" applyFont="1" applyFill="1" applyBorder="1" applyAlignment="1">
      <alignment horizontal="left" vertical="center" wrapText="1"/>
    </xf>
    <xf numFmtId="0" fontId="69" fillId="33" borderId="18" xfId="0" applyFont="1" applyFill="1" applyBorder="1" applyAlignment="1">
      <alignment horizontal="left" vertical="center" wrapText="1"/>
    </xf>
    <xf numFmtId="0" fontId="72" fillId="33" borderId="18" xfId="0" applyFont="1" applyFill="1" applyBorder="1" applyAlignment="1">
      <alignment horizontal="left" vertical="center" wrapText="1"/>
    </xf>
    <xf numFmtId="0" fontId="70" fillId="33" borderId="19" xfId="0" applyFont="1" applyFill="1" applyBorder="1" applyAlignment="1">
      <alignment horizontal="center" vertical="center"/>
    </xf>
    <xf numFmtId="0" fontId="70" fillId="33" borderId="20" xfId="0" applyFont="1" applyFill="1" applyBorder="1" applyAlignment="1">
      <alignment horizontal="left" vertical="center" wrapText="1"/>
    </xf>
    <xf numFmtId="3" fontId="70" fillId="33" borderId="21" xfId="0" applyNumberFormat="1" applyFont="1" applyFill="1" applyBorder="1" applyAlignment="1">
      <alignment horizontal="right" vertical="center"/>
    </xf>
    <xf numFmtId="0" fontId="9" fillId="33" borderId="19" xfId="0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left" vertical="center" wrapText="1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left" vertical="center" wrapText="1"/>
    </xf>
    <xf numFmtId="3" fontId="69" fillId="33" borderId="14" xfId="0" applyNumberFormat="1" applyFont="1" applyFill="1" applyBorder="1" applyAlignment="1">
      <alignment horizontal="right" vertical="center"/>
    </xf>
    <xf numFmtId="3" fontId="69" fillId="33" borderId="0" xfId="0" applyNumberFormat="1" applyFont="1" applyFill="1" applyBorder="1" applyAlignment="1">
      <alignment horizontal="center" vertical="center"/>
    </xf>
    <xf numFmtId="3" fontId="69" fillId="33" borderId="0" xfId="0" applyNumberFormat="1" applyFont="1" applyFill="1" applyBorder="1" applyAlignment="1" quotePrefix="1">
      <alignment horizontal="center" vertical="center"/>
    </xf>
    <xf numFmtId="4" fontId="69" fillId="33" borderId="0" xfId="0" applyNumberFormat="1" applyFont="1" applyFill="1" applyBorder="1" applyAlignment="1">
      <alignment horizontal="right" vertical="center"/>
    </xf>
    <xf numFmtId="3" fontId="70" fillId="33" borderId="14" xfId="0" applyNumberFormat="1" applyFont="1" applyFill="1" applyBorder="1" applyAlignment="1">
      <alignment vertical="center"/>
    </xf>
    <xf numFmtId="3" fontId="74" fillId="33" borderId="14" xfId="0" applyNumberFormat="1" applyFont="1" applyFill="1" applyBorder="1" applyAlignment="1">
      <alignment vertical="center"/>
    </xf>
    <xf numFmtId="3" fontId="74" fillId="33" borderId="0" xfId="0" applyNumberFormat="1" applyFont="1" applyFill="1" applyBorder="1" applyAlignment="1">
      <alignment horizontal="left" wrapText="1"/>
    </xf>
    <xf numFmtId="3" fontId="74" fillId="33" borderId="0" xfId="0" applyNumberFormat="1" applyFont="1" applyFill="1" applyBorder="1" applyAlignment="1">
      <alignment vertical="center"/>
    </xf>
    <xf numFmtId="3" fontId="66" fillId="33" borderId="0" xfId="0" applyNumberFormat="1" applyFont="1" applyFill="1" applyAlignment="1">
      <alignment horizontal="center"/>
    </xf>
    <xf numFmtId="3" fontId="3" fillId="33" borderId="11" xfId="0" applyNumberFormat="1" applyFont="1" applyFill="1" applyBorder="1" applyAlignment="1" quotePrefix="1">
      <alignment horizontal="right" wrapText="1"/>
    </xf>
    <xf numFmtId="49" fontId="9" fillId="33" borderId="15" xfId="0" applyNumberFormat="1" applyFont="1" applyFill="1" applyBorder="1" applyAlignment="1">
      <alignment horizontal="center" vertical="center"/>
    </xf>
    <xf numFmtId="0" fontId="9" fillId="33" borderId="18" xfId="0" applyFont="1" applyFill="1" applyBorder="1" applyAlignment="1">
      <alignment horizontal="left" vertical="center" wrapText="1"/>
    </xf>
    <xf numFmtId="3" fontId="9" fillId="33" borderId="22" xfId="0" applyNumberFormat="1" applyFont="1" applyFill="1" applyBorder="1" applyAlignment="1" quotePrefix="1">
      <alignment horizontal="right" vertical="center" wrapText="1"/>
    </xf>
    <xf numFmtId="49" fontId="3" fillId="33" borderId="19" xfId="0" applyNumberFormat="1" applyFont="1" applyFill="1" applyBorder="1" applyAlignment="1">
      <alignment horizontal="center" vertical="center"/>
    </xf>
    <xf numFmtId="3" fontId="3" fillId="33" borderId="21" xfId="0" applyNumberFormat="1" applyFont="1" applyFill="1" applyBorder="1" applyAlignment="1">
      <alignment horizontal="right" vertical="center"/>
    </xf>
    <xf numFmtId="3" fontId="9" fillId="33" borderId="14" xfId="0" applyNumberFormat="1" applyFont="1" applyFill="1" applyBorder="1" applyAlignment="1">
      <alignment horizontal="right" vertical="center"/>
    </xf>
    <xf numFmtId="3" fontId="9" fillId="33" borderId="0" xfId="0" applyNumberFormat="1" applyFont="1" applyFill="1" applyBorder="1" applyAlignment="1">
      <alignment horizontal="center" vertical="center"/>
    </xf>
    <xf numFmtId="3" fontId="9" fillId="33" borderId="0" xfId="0" applyNumberFormat="1" applyFont="1" applyFill="1" applyBorder="1" applyAlignment="1" quotePrefix="1">
      <alignment horizontal="center" vertical="center"/>
    </xf>
    <xf numFmtId="3" fontId="9" fillId="33" borderId="0" xfId="0" applyNumberFormat="1" applyFont="1" applyFill="1" applyBorder="1" applyAlignment="1">
      <alignment horizontal="right" vertical="center"/>
    </xf>
    <xf numFmtId="4" fontId="70" fillId="33" borderId="0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center"/>
    </xf>
    <xf numFmtId="0" fontId="6" fillId="33" borderId="0" xfId="0" applyFont="1" applyFill="1" applyAlignment="1">
      <alignment/>
    </xf>
    <xf numFmtId="0" fontId="0" fillId="33" borderId="0" xfId="0" applyFont="1" applyFill="1" applyAlignment="1">
      <alignment horizontal="center" wrapText="1"/>
    </xf>
    <xf numFmtId="3" fontId="9" fillId="33" borderId="0" xfId="0" applyNumberFormat="1" applyFont="1" applyFill="1" applyBorder="1" applyAlignment="1">
      <alignment horizontal="right"/>
    </xf>
    <xf numFmtId="3" fontId="9" fillId="33" borderId="0" xfId="0" applyNumberFormat="1" applyFont="1" applyFill="1" applyBorder="1" applyAlignment="1">
      <alignment/>
    </xf>
    <xf numFmtId="3" fontId="4" fillId="33" borderId="0" xfId="0" applyNumberFormat="1" applyFont="1" applyFill="1" applyAlignment="1">
      <alignment/>
    </xf>
    <xf numFmtId="3" fontId="4" fillId="33" borderId="0" xfId="0" applyNumberFormat="1" applyFont="1" applyFill="1" applyBorder="1" applyAlignment="1">
      <alignment/>
    </xf>
    <xf numFmtId="3" fontId="7" fillId="33" borderId="12" xfId="0" applyNumberFormat="1" applyFont="1" applyFill="1" applyBorder="1" applyAlignment="1">
      <alignment vertical="center"/>
    </xf>
    <xf numFmtId="3" fontId="3" fillId="33" borderId="13" xfId="0" applyNumberFormat="1" applyFont="1" applyFill="1" applyBorder="1" applyAlignment="1">
      <alignment/>
    </xf>
    <xf numFmtId="3" fontId="2" fillId="33" borderId="14" xfId="0" applyNumberFormat="1" applyFont="1" applyFill="1" applyBorder="1" applyAlignment="1">
      <alignment horizontal="center" vertical="center"/>
    </xf>
    <xf numFmtId="3" fontId="9" fillId="33" borderId="14" xfId="0" applyNumberFormat="1" applyFont="1" applyFill="1" applyBorder="1" applyAlignment="1">
      <alignment vertical="center"/>
    </xf>
    <xf numFmtId="3" fontId="3" fillId="33" borderId="0" xfId="0" applyNumberFormat="1" applyFont="1" applyFill="1" applyBorder="1" applyAlignment="1">
      <alignment horizontal="left" wrapText="1"/>
    </xf>
    <xf numFmtId="3" fontId="3" fillId="33" borderId="0" xfId="0" applyNumberFormat="1" applyFont="1" applyFill="1" applyBorder="1" applyAlignment="1">
      <alignment vertical="center"/>
    </xf>
    <xf numFmtId="0" fontId="9" fillId="33" borderId="23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left" vertical="center" wrapText="1"/>
    </xf>
    <xf numFmtId="0" fontId="2" fillId="33" borderId="23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left" vertical="center" wrapText="1"/>
    </xf>
    <xf numFmtId="0" fontId="3" fillId="33" borderId="23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left" vertical="center" wrapText="1"/>
    </xf>
    <xf numFmtId="3" fontId="69" fillId="33" borderId="0" xfId="0" applyNumberFormat="1" applyFont="1" applyFill="1" applyBorder="1" applyAlignment="1">
      <alignment horizontal="right" vertical="center"/>
    </xf>
    <xf numFmtId="3" fontId="9" fillId="33" borderId="0" xfId="0" applyNumberFormat="1" applyFont="1" applyFill="1" applyBorder="1" applyAlignment="1">
      <alignment horizontal="left" wrapText="1"/>
    </xf>
    <xf numFmtId="3" fontId="9" fillId="33" borderId="0" xfId="0" applyNumberFormat="1" applyFont="1" applyFill="1" applyBorder="1" applyAlignment="1">
      <alignment vertical="center"/>
    </xf>
    <xf numFmtId="4" fontId="9" fillId="33" borderId="0" xfId="0" applyNumberFormat="1" applyFont="1" applyFill="1" applyBorder="1" applyAlignment="1">
      <alignment horizontal="right" vertical="center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vertical="center"/>
    </xf>
    <xf numFmtId="4" fontId="3" fillId="33" borderId="0" xfId="0" applyNumberFormat="1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right" vertical="center"/>
    </xf>
    <xf numFmtId="0" fontId="70" fillId="33" borderId="23" xfId="0" applyFont="1" applyFill="1" applyBorder="1" applyAlignment="1">
      <alignment horizontal="center" vertical="center"/>
    </xf>
    <xf numFmtId="3" fontId="2" fillId="33" borderId="10" xfId="0" applyNumberFormat="1" applyFont="1" applyFill="1" applyBorder="1" applyAlignment="1">
      <alignment horizontal="right" vertical="center"/>
    </xf>
    <xf numFmtId="3" fontId="13" fillId="33" borderId="0" xfId="0" applyNumberFormat="1" applyFont="1" applyFill="1" applyAlignment="1">
      <alignment/>
    </xf>
    <xf numFmtId="0" fontId="13" fillId="33" borderId="0" xfId="0" applyNumberFormat="1" applyFont="1" applyFill="1" applyAlignment="1">
      <alignment horizontal="center"/>
    </xf>
    <xf numFmtId="0" fontId="0" fillId="33" borderId="0" xfId="0" applyFill="1" applyAlignment="1">
      <alignment/>
    </xf>
    <xf numFmtId="3" fontId="0" fillId="33" borderId="0" xfId="0" applyNumberFormat="1" applyFont="1" applyFill="1" applyAlignment="1">
      <alignment/>
    </xf>
    <xf numFmtId="3" fontId="3" fillId="33" borderId="0" xfId="0" applyNumberFormat="1" applyFont="1" applyFill="1" applyAlignment="1">
      <alignment/>
    </xf>
    <xf numFmtId="3" fontId="2" fillId="33" borderId="14" xfId="0" applyNumberFormat="1" applyFont="1" applyFill="1" applyBorder="1" applyAlignment="1">
      <alignment horizontal="center" vertical="center" wrapText="1"/>
    </xf>
    <xf numFmtId="3" fontId="3" fillId="33" borderId="25" xfId="0" applyNumberFormat="1" applyFont="1" applyFill="1" applyBorder="1" applyAlignment="1" quotePrefix="1">
      <alignment vertical="center" wrapText="1"/>
    </xf>
    <xf numFmtId="0" fontId="3" fillId="33" borderId="18" xfId="0" applyFont="1" applyFill="1" applyBorder="1" applyAlignment="1">
      <alignment horizontal="left" vertical="center" wrapText="1"/>
    </xf>
    <xf numFmtId="0" fontId="0" fillId="33" borderId="0" xfId="0" applyFont="1" applyFill="1" applyAlignment="1">
      <alignment/>
    </xf>
    <xf numFmtId="3" fontId="2" fillId="33" borderId="0" xfId="0" applyNumberFormat="1" applyFont="1" applyFill="1" applyBorder="1" applyAlignment="1">
      <alignment horizontal="left" wrapText="1"/>
    </xf>
    <xf numFmtId="3" fontId="2" fillId="33" borderId="0" xfId="0" applyNumberFormat="1" applyFont="1" applyFill="1" applyBorder="1" applyAlignment="1">
      <alignment vertical="center"/>
    </xf>
    <xf numFmtId="3" fontId="9" fillId="33" borderId="0" xfId="0" applyNumberFormat="1" applyFont="1" applyFill="1" applyBorder="1" applyAlignment="1">
      <alignment horizontal="left" vertical="center" wrapText="1"/>
    </xf>
    <xf numFmtId="3" fontId="3" fillId="33" borderId="26" xfId="0" applyNumberFormat="1" applyFont="1" applyFill="1" applyBorder="1" applyAlignment="1">
      <alignment vertical="center"/>
    </xf>
    <xf numFmtId="3" fontId="3" fillId="33" borderId="27" xfId="0" applyNumberFormat="1" applyFont="1" applyFill="1" applyBorder="1" applyAlignment="1" quotePrefix="1">
      <alignment vertical="center" wrapText="1"/>
    </xf>
    <xf numFmtId="0" fontId="75" fillId="33" borderId="0" xfId="0" applyFont="1" applyFill="1" applyAlignment="1">
      <alignment/>
    </xf>
    <xf numFmtId="0" fontId="9" fillId="33" borderId="15" xfId="0" applyFont="1" applyFill="1" applyBorder="1" applyAlignment="1">
      <alignment horizontal="center" vertical="center"/>
    </xf>
    <xf numFmtId="3" fontId="9" fillId="33" borderId="10" xfId="0" applyNumberFormat="1" applyFont="1" applyFill="1" applyBorder="1" applyAlignment="1">
      <alignment horizontal="right" vertical="center"/>
    </xf>
    <xf numFmtId="4" fontId="9" fillId="33" borderId="0" xfId="0" applyNumberFormat="1" applyFont="1" applyFill="1" applyBorder="1" applyAlignment="1">
      <alignment horizontal="right"/>
    </xf>
    <xf numFmtId="3" fontId="11" fillId="33" borderId="0" xfId="0" applyNumberFormat="1" applyFont="1" applyFill="1" applyBorder="1" applyAlignment="1">
      <alignment horizontal="left"/>
    </xf>
    <xf numFmtId="3" fontId="11" fillId="33" borderId="0" xfId="0" applyNumberFormat="1" applyFont="1" applyFill="1" applyBorder="1" applyAlignment="1" quotePrefix="1">
      <alignment horizontal="left"/>
    </xf>
    <xf numFmtId="0" fontId="3" fillId="33" borderId="15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left" wrapText="1"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left" wrapText="1"/>
    </xf>
    <xf numFmtId="3" fontId="4" fillId="33" borderId="0" xfId="0" applyNumberFormat="1" applyFont="1" applyFill="1" applyAlignment="1">
      <alignment/>
    </xf>
    <xf numFmtId="49" fontId="2" fillId="33" borderId="15" xfId="0" applyNumberFormat="1" applyFont="1" applyFill="1" applyBorder="1" applyAlignment="1">
      <alignment horizontal="center" vertical="center"/>
    </xf>
    <xf numFmtId="3" fontId="69" fillId="33" borderId="0" xfId="0" applyNumberFormat="1" applyFont="1" applyFill="1" applyBorder="1" applyAlignment="1">
      <alignment vertical="center"/>
    </xf>
    <xf numFmtId="0" fontId="69" fillId="33" borderId="23" xfId="0" applyFont="1" applyFill="1" applyBorder="1" applyAlignment="1">
      <alignment horizontal="center" vertical="center"/>
    </xf>
    <xf numFmtId="0" fontId="72" fillId="33" borderId="23" xfId="0" applyFont="1" applyFill="1" applyBorder="1" applyAlignment="1">
      <alignment horizontal="center" vertical="center"/>
    </xf>
    <xf numFmtId="0" fontId="70" fillId="33" borderId="23" xfId="0" applyFont="1" applyFill="1" applyBorder="1" applyAlignment="1">
      <alignment horizontal="center"/>
    </xf>
    <xf numFmtId="0" fontId="72" fillId="33" borderId="23" xfId="0" applyFont="1" applyFill="1" applyBorder="1" applyAlignment="1">
      <alignment horizontal="center"/>
    </xf>
    <xf numFmtId="0" fontId="70" fillId="33" borderId="28" xfId="0" applyFont="1" applyFill="1" applyBorder="1" applyAlignment="1">
      <alignment horizontal="center" vertical="center"/>
    </xf>
    <xf numFmtId="0" fontId="70" fillId="33" borderId="29" xfId="0" applyFont="1" applyFill="1" applyBorder="1" applyAlignment="1">
      <alignment horizontal="left" vertical="center" wrapText="1"/>
    </xf>
    <xf numFmtId="0" fontId="70" fillId="33" borderId="24" xfId="0" applyFont="1" applyFill="1" applyBorder="1" applyAlignment="1">
      <alignment horizontal="left" vertical="center" wrapText="1"/>
    </xf>
    <xf numFmtId="0" fontId="11" fillId="33" borderId="0" xfId="0" applyFont="1" applyFill="1" applyAlignment="1">
      <alignment vertical="center"/>
    </xf>
    <xf numFmtId="0" fontId="67" fillId="33" borderId="0" xfId="0" applyFont="1" applyFill="1" applyAlignment="1">
      <alignment horizontal="center" vertical="center" wrapText="1"/>
    </xf>
    <xf numFmtId="0" fontId="72" fillId="33" borderId="0" xfId="0" applyFont="1" applyFill="1" applyAlignment="1">
      <alignment vertical="center"/>
    </xf>
    <xf numFmtId="3" fontId="2" fillId="33" borderId="0" xfId="0" applyNumberFormat="1" applyFont="1" applyFill="1" applyBorder="1" applyAlignment="1">
      <alignment horizontal="right" vertical="center"/>
    </xf>
    <xf numFmtId="0" fontId="11" fillId="33" borderId="0" xfId="0" applyFont="1" applyFill="1" applyBorder="1" applyAlignment="1">
      <alignment horizontal="left" vertical="center"/>
    </xf>
    <xf numFmtId="0" fontId="0" fillId="33" borderId="0" xfId="0" applyFont="1" applyFill="1" applyAlignment="1">
      <alignment horizontal="center"/>
    </xf>
    <xf numFmtId="0" fontId="2" fillId="33" borderId="30" xfId="0" applyFont="1" applyFill="1" applyBorder="1" applyAlignment="1">
      <alignment horizontal="left" vertical="center" wrapText="1"/>
    </xf>
    <xf numFmtId="49" fontId="3" fillId="33" borderId="15" xfId="0" applyNumberFormat="1" applyFont="1" applyFill="1" applyBorder="1" applyAlignment="1">
      <alignment horizontal="center" vertical="center"/>
    </xf>
    <xf numFmtId="3" fontId="2" fillId="33" borderId="21" xfId="0" applyNumberFormat="1" applyFont="1" applyFill="1" applyBorder="1" applyAlignment="1">
      <alignment horizontal="right" vertical="center"/>
    </xf>
    <xf numFmtId="0" fontId="10" fillId="33" borderId="0" xfId="0" applyFont="1" applyFill="1" applyAlignment="1">
      <alignment vertical="center" wrapText="1"/>
    </xf>
    <xf numFmtId="0" fontId="0" fillId="33" borderId="0" xfId="0" applyFont="1" applyFill="1" applyAlignment="1">
      <alignment horizontal="center" wrapText="1"/>
    </xf>
    <xf numFmtId="3" fontId="5" fillId="33" borderId="0" xfId="0" applyNumberFormat="1" applyFont="1" applyFill="1" applyBorder="1" applyAlignment="1" quotePrefix="1">
      <alignment horizontal="left"/>
    </xf>
    <xf numFmtId="0" fontId="8" fillId="33" borderId="0" xfId="0" applyFont="1" applyFill="1" applyAlignment="1">
      <alignment horizontal="right"/>
    </xf>
    <xf numFmtId="3" fontId="4" fillId="33" borderId="0" xfId="0" applyNumberFormat="1" applyFont="1" applyFill="1" applyAlignment="1">
      <alignment horizontal="left"/>
    </xf>
    <xf numFmtId="3" fontId="4" fillId="33" borderId="0" xfId="0" applyNumberFormat="1" applyFont="1" applyFill="1" applyAlignment="1">
      <alignment horizontal="center" vertical="center" wrapText="1"/>
    </xf>
    <xf numFmtId="0" fontId="3" fillId="33" borderId="18" xfId="0" applyFont="1" applyFill="1" applyBorder="1" applyAlignment="1">
      <alignment horizontal="left" wrapText="1"/>
    </xf>
    <xf numFmtId="3" fontId="3" fillId="33" borderId="10" xfId="0" applyNumberFormat="1" applyFont="1" applyFill="1" applyBorder="1" applyAlignment="1">
      <alignment horizontal="right"/>
    </xf>
    <xf numFmtId="0" fontId="3" fillId="33" borderId="31" xfId="0" applyFont="1" applyFill="1" applyBorder="1" applyAlignment="1">
      <alignment horizontal="left" vertical="center" wrapText="1"/>
    </xf>
    <xf numFmtId="0" fontId="2" fillId="33" borderId="32" xfId="0" applyFont="1" applyFill="1" applyBorder="1" applyAlignment="1">
      <alignment horizontal="center" vertical="center"/>
    </xf>
    <xf numFmtId="3" fontId="72" fillId="33" borderId="25" xfId="0" applyNumberFormat="1" applyFont="1" applyFill="1" applyBorder="1" applyAlignment="1">
      <alignment horizontal="right" vertical="center"/>
    </xf>
    <xf numFmtId="0" fontId="9" fillId="33" borderId="31" xfId="0" applyFont="1" applyFill="1" applyBorder="1" applyAlignment="1">
      <alignment horizontal="left" vertical="center" wrapText="1"/>
    </xf>
    <xf numFmtId="3" fontId="69" fillId="33" borderId="21" xfId="0" applyNumberFormat="1" applyFont="1" applyFill="1" applyBorder="1" applyAlignment="1">
      <alignment horizontal="right" vertical="center"/>
    </xf>
    <xf numFmtId="0" fontId="3" fillId="33" borderId="33" xfId="0" applyFont="1" applyFill="1" applyBorder="1" applyAlignment="1">
      <alignment horizontal="left" vertical="center" wrapText="1"/>
    </xf>
    <xf numFmtId="49" fontId="9" fillId="33" borderId="32" xfId="0" applyNumberFormat="1" applyFont="1" applyFill="1" applyBorder="1" applyAlignment="1">
      <alignment horizontal="center" vertical="center"/>
    </xf>
    <xf numFmtId="0" fontId="9" fillId="33" borderId="30" xfId="0" applyFont="1" applyFill="1" applyBorder="1" applyAlignment="1">
      <alignment horizontal="left" vertical="center" wrapText="1"/>
    </xf>
    <xf numFmtId="3" fontId="9" fillId="33" borderId="25" xfId="0" applyNumberFormat="1" applyFont="1" applyFill="1" applyBorder="1" applyAlignment="1">
      <alignment horizontal="right" vertical="center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 vertical="center"/>
    </xf>
    <xf numFmtId="0" fontId="72" fillId="33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3" fontId="76" fillId="33" borderId="0" xfId="0" applyNumberFormat="1" applyFont="1" applyFill="1" applyBorder="1" applyAlignment="1">
      <alignment vertical="center"/>
    </xf>
    <xf numFmtId="3" fontId="77" fillId="33" borderId="0" xfId="0" applyNumberFormat="1" applyFont="1" applyFill="1" applyBorder="1" applyAlignment="1">
      <alignment vertical="center"/>
    </xf>
    <xf numFmtId="49" fontId="2" fillId="33" borderId="32" xfId="0" applyNumberFormat="1" applyFont="1" applyFill="1" applyBorder="1" applyAlignment="1">
      <alignment horizontal="center" vertical="center"/>
    </xf>
    <xf numFmtId="3" fontId="2" fillId="33" borderId="25" xfId="0" applyNumberFormat="1" applyFont="1" applyFill="1" applyBorder="1" applyAlignment="1">
      <alignment horizontal="right" vertical="center"/>
    </xf>
    <xf numFmtId="0" fontId="2" fillId="33" borderId="0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3" fontId="66" fillId="33" borderId="0" xfId="0" applyNumberFormat="1" applyFont="1" applyFill="1" applyAlignment="1">
      <alignment horizontal="center"/>
    </xf>
    <xf numFmtId="3" fontId="12" fillId="33" borderId="14" xfId="0" applyNumberFormat="1" applyFont="1" applyFill="1" applyBorder="1" applyAlignment="1">
      <alignment vertical="center"/>
    </xf>
    <xf numFmtId="3" fontId="3" fillId="33" borderId="25" xfId="0" applyNumberFormat="1" applyFont="1" applyFill="1" applyBorder="1" applyAlignment="1">
      <alignment horizontal="right" vertical="center"/>
    </xf>
    <xf numFmtId="3" fontId="3" fillId="33" borderId="14" xfId="0" applyNumberFormat="1" applyFont="1" applyFill="1" applyBorder="1" applyAlignment="1">
      <alignment vertical="center"/>
    </xf>
    <xf numFmtId="0" fontId="9" fillId="33" borderId="0" xfId="0" applyFont="1" applyFill="1" applyBorder="1" applyAlignment="1">
      <alignment horizontal="left" vertical="center" wrapText="1"/>
    </xf>
    <xf numFmtId="3" fontId="69" fillId="33" borderId="0" xfId="0" applyNumberFormat="1" applyFont="1" applyFill="1" applyBorder="1" applyAlignment="1">
      <alignment horizontal="left" vertical="center" wrapText="1"/>
    </xf>
    <xf numFmtId="3" fontId="9" fillId="33" borderId="21" xfId="0" applyNumberFormat="1" applyFont="1" applyFill="1" applyBorder="1" applyAlignment="1">
      <alignment horizontal="right" vertical="center"/>
    </xf>
    <xf numFmtId="3" fontId="11" fillId="33" borderId="0" xfId="0" applyNumberFormat="1" applyFont="1" applyFill="1" applyBorder="1" applyAlignment="1">
      <alignment/>
    </xf>
    <xf numFmtId="3" fontId="11" fillId="33" borderId="0" xfId="0" applyNumberFormat="1" applyFont="1" applyFill="1" applyBorder="1" applyAlignment="1" quotePrefix="1">
      <alignment/>
    </xf>
    <xf numFmtId="0" fontId="2" fillId="33" borderId="34" xfId="0" applyNumberFormat="1" applyFont="1" applyFill="1" applyBorder="1" applyAlignment="1">
      <alignment horizontal="center" vertical="center" wrapText="1"/>
    </xf>
    <xf numFmtId="0" fontId="2" fillId="33" borderId="35" xfId="0" applyNumberFormat="1" applyFont="1" applyFill="1" applyBorder="1" applyAlignment="1">
      <alignment horizontal="left" vertical="center" wrapText="1"/>
    </xf>
    <xf numFmtId="3" fontId="72" fillId="33" borderId="25" xfId="0" applyNumberFormat="1" applyFont="1" applyFill="1" applyBorder="1" applyAlignment="1">
      <alignment horizontal="right" vertical="center" wrapText="1"/>
    </xf>
    <xf numFmtId="0" fontId="2" fillId="33" borderId="23" xfId="0" applyNumberFormat="1" applyFont="1" applyFill="1" applyBorder="1" applyAlignment="1">
      <alignment horizontal="center" vertical="center" wrapText="1"/>
    </xf>
    <xf numFmtId="0" fontId="2" fillId="33" borderId="16" xfId="0" applyNumberFormat="1" applyFont="1" applyFill="1" applyBorder="1" applyAlignment="1">
      <alignment horizontal="left" vertical="center" wrapText="1"/>
    </xf>
    <xf numFmtId="0" fontId="3" fillId="33" borderId="23" xfId="0" applyNumberFormat="1" applyFont="1" applyFill="1" applyBorder="1" applyAlignment="1">
      <alignment horizontal="center" vertical="center" wrapText="1"/>
    </xf>
    <xf numFmtId="0" fontId="3" fillId="33" borderId="16" xfId="0" applyNumberFormat="1" applyFont="1" applyFill="1" applyBorder="1" applyAlignment="1">
      <alignment horizontal="left" vertical="center" wrapText="1"/>
    </xf>
    <xf numFmtId="3" fontId="3" fillId="33" borderId="25" xfId="0" applyNumberFormat="1" applyFont="1" applyFill="1" applyBorder="1" applyAlignment="1">
      <alignment horizontal="right" vertical="center" wrapText="1"/>
    </xf>
    <xf numFmtId="3" fontId="3" fillId="33" borderId="22" xfId="0" applyNumberFormat="1" applyFont="1" applyFill="1" applyBorder="1" applyAlignment="1">
      <alignment horizontal="right" vertical="center" wrapText="1"/>
    </xf>
    <xf numFmtId="3" fontId="2" fillId="33" borderId="10" xfId="0" applyNumberFormat="1" applyFont="1" applyFill="1" applyBorder="1" applyAlignment="1">
      <alignment horizontal="right" vertical="center" wrapText="1"/>
    </xf>
    <xf numFmtId="3" fontId="2" fillId="33" borderId="22" xfId="0" applyNumberFormat="1" applyFont="1" applyFill="1" applyBorder="1" applyAlignment="1">
      <alignment horizontal="right" vertical="center" wrapText="1"/>
    </xf>
    <xf numFmtId="3" fontId="3" fillId="33" borderId="0" xfId="0" applyNumberFormat="1" applyFont="1" applyFill="1" applyAlignment="1">
      <alignment/>
    </xf>
    <xf numFmtId="0" fontId="78" fillId="33" borderId="0" xfId="0" applyFont="1" applyFill="1" applyAlignment="1">
      <alignment/>
    </xf>
    <xf numFmtId="3" fontId="3" fillId="33" borderId="21" xfId="0" applyNumberFormat="1" applyFont="1" applyFill="1" applyBorder="1" applyAlignment="1">
      <alignment horizontal="right" vertical="center" wrapText="1"/>
    </xf>
    <xf numFmtId="0" fontId="2" fillId="33" borderId="28" xfId="0" applyNumberFormat="1" applyFont="1" applyFill="1" applyBorder="1" applyAlignment="1">
      <alignment horizontal="center" vertical="center"/>
    </xf>
    <xf numFmtId="0" fontId="2" fillId="33" borderId="29" xfId="0" applyNumberFormat="1" applyFont="1" applyFill="1" applyBorder="1" applyAlignment="1">
      <alignment horizontal="left" vertical="center"/>
    </xf>
    <xf numFmtId="0" fontId="3" fillId="33" borderId="23" xfId="0" applyNumberFormat="1" applyFont="1" applyFill="1" applyBorder="1" applyAlignment="1">
      <alignment horizontal="center" vertical="center"/>
    </xf>
    <xf numFmtId="0" fontId="3" fillId="33" borderId="16" xfId="0" applyNumberFormat="1" applyFont="1" applyFill="1" applyBorder="1" applyAlignment="1">
      <alignment horizontal="left" vertical="center"/>
    </xf>
    <xf numFmtId="3" fontId="2" fillId="33" borderId="14" xfId="0" applyNumberFormat="1" applyFont="1" applyFill="1" applyBorder="1" applyAlignment="1">
      <alignment vertical="center"/>
    </xf>
    <xf numFmtId="0" fontId="2" fillId="33" borderId="0" xfId="0" applyFont="1" applyFill="1" applyBorder="1" applyAlignment="1">
      <alignment horizontal="center" vertical="center"/>
    </xf>
    <xf numFmtId="3" fontId="2" fillId="33" borderId="0" xfId="0" applyNumberFormat="1" applyFont="1" applyFill="1" applyBorder="1" applyAlignment="1">
      <alignment horizontal="center"/>
    </xf>
    <xf numFmtId="4" fontId="3" fillId="33" borderId="0" xfId="0" applyNumberFormat="1" applyFont="1" applyFill="1" applyAlignment="1">
      <alignment/>
    </xf>
    <xf numFmtId="3" fontId="3" fillId="33" borderId="36" xfId="0" applyNumberFormat="1" applyFont="1" applyFill="1" applyBorder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3" fillId="33" borderId="28" xfId="0" applyNumberFormat="1" applyFont="1" applyFill="1" applyBorder="1" applyAlignment="1">
      <alignment horizontal="center" vertical="center"/>
    </xf>
    <xf numFmtId="0" fontId="3" fillId="33" borderId="29" xfId="0" applyNumberFormat="1" applyFont="1" applyFill="1" applyBorder="1" applyAlignment="1">
      <alignment horizontal="left" vertical="center"/>
    </xf>
    <xf numFmtId="0" fontId="2" fillId="0" borderId="28" xfId="0" applyNumberFormat="1" applyFont="1" applyFill="1" applyBorder="1" applyAlignment="1">
      <alignment horizontal="center" vertical="center"/>
    </xf>
    <xf numFmtId="0" fontId="2" fillId="0" borderId="29" xfId="0" applyNumberFormat="1" applyFont="1" applyFill="1" applyBorder="1" applyAlignment="1">
      <alignment horizontal="left" vertical="center"/>
    </xf>
    <xf numFmtId="3" fontId="3" fillId="33" borderId="34" xfId="0" applyNumberFormat="1" applyFont="1" applyFill="1" applyBorder="1" applyAlignment="1">
      <alignment horizontal="left"/>
    </xf>
    <xf numFmtId="3" fontId="3" fillId="33" borderId="37" xfId="0" applyNumberFormat="1" applyFont="1" applyFill="1" applyBorder="1" applyAlignment="1">
      <alignment horizontal="left"/>
    </xf>
    <xf numFmtId="0" fontId="10" fillId="33" borderId="0" xfId="0" applyFont="1" applyFill="1" applyAlignment="1">
      <alignment horizontal="center" vertical="center" wrapText="1"/>
    </xf>
    <xf numFmtId="0" fontId="2" fillId="33" borderId="0" xfId="0" applyFont="1" applyFill="1" applyAlignment="1" quotePrefix="1">
      <alignment horizontal="center"/>
    </xf>
    <xf numFmtId="0" fontId="2" fillId="33" borderId="0" xfId="0" applyFont="1" applyFill="1" applyAlignment="1">
      <alignment horizontal="center"/>
    </xf>
    <xf numFmtId="0" fontId="2" fillId="33" borderId="38" xfId="0" applyNumberFormat="1" applyFont="1" applyFill="1" applyBorder="1" applyAlignment="1">
      <alignment horizontal="center" vertical="center" wrapText="1"/>
    </xf>
    <xf numFmtId="0" fontId="2" fillId="33" borderId="39" xfId="0" applyNumberFormat="1" applyFont="1" applyFill="1" applyBorder="1" applyAlignment="1" quotePrefix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3" fontId="2" fillId="33" borderId="26" xfId="0" applyNumberFormat="1" applyFont="1" applyFill="1" applyBorder="1" applyAlignment="1">
      <alignment horizontal="center" vertical="center" wrapText="1"/>
    </xf>
    <xf numFmtId="3" fontId="2" fillId="33" borderId="40" xfId="0" applyNumberFormat="1" applyFont="1" applyFill="1" applyBorder="1" applyAlignment="1" quotePrefix="1">
      <alignment horizontal="center" vertical="center" wrapText="1"/>
    </xf>
    <xf numFmtId="3" fontId="2" fillId="33" borderId="26" xfId="0" applyNumberFormat="1" applyFont="1" applyFill="1" applyBorder="1" applyAlignment="1">
      <alignment horizontal="right" vertical="center"/>
    </xf>
    <xf numFmtId="3" fontId="2" fillId="33" borderId="40" xfId="0" applyNumberFormat="1" applyFont="1" applyFill="1" applyBorder="1" applyAlignment="1">
      <alignment horizontal="right" vertical="center"/>
    </xf>
    <xf numFmtId="3" fontId="2" fillId="33" borderId="38" xfId="0" applyNumberFormat="1" applyFont="1" applyFill="1" applyBorder="1" applyAlignment="1">
      <alignment horizontal="center" vertical="center"/>
    </xf>
    <xf numFmtId="3" fontId="2" fillId="33" borderId="41" xfId="0" applyNumberFormat="1" applyFont="1" applyFill="1" applyBorder="1" applyAlignment="1">
      <alignment horizontal="center" vertical="center"/>
    </xf>
    <xf numFmtId="3" fontId="2" fillId="33" borderId="39" xfId="0" applyNumberFormat="1" applyFont="1" applyFill="1" applyBorder="1" applyAlignment="1">
      <alignment horizontal="center" vertical="center"/>
    </xf>
    <xf numFmtId="3" fontId="2" fillId="33" borderId="42" xfId="0" applyNumberFormat="1" applyFont="1" applyFill="1" applyBorder="1" applyAlignment="1">
      <alignment horizontal="center" vertical="center"/>
    </xf>
    <xf numFmtId="0" fontId="70" fillId="33" borderId="26" xfId="0" applyFont="1" applyFill="1" applyBorder="1" applyAlignment="1">
      <alignment horizontal="left" vertical="center" wrapText="1"/>
    </xf>
    <xf numFmtId="3" fontId="7" fillId="33" borderId="11" xfId="0" applyNumberFormat="1" applyFont="1" applyFill="1" applyBorder="1" applyAlignment="1">
      <alignment horizontal="left" vertical="center" wrapText="1"/>
    </xf>
    <xf numFmtId="0" fontId="70" fillId="33" borderId="36" xfId="0" applyFont="1" applyFill="1" applyBorder="1" applyAlignment="1">
      <alignment horizontal="left" vertical="center" wrapText="1"/>
    </xf>
    <xf numFmtId="0" fontId="2" fillId="33" borderId="43" xfId="0" applyNumberFormat="1" applyFont="1" applyFill="1" applyBorder="1" applyAlignment="1">
      <alignment horizontal="center" vertical="center" wrapText="1"/>
    </xf>
    <xf numFmtId="0" fontId="2" fillId="33" borderId="44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left"/>
    </xf>
    <xf numFmtId="0" fontId="3" fillId="33" borderId="0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3" fontId="9" fillId="33" borderId="12" xfId="0" applyNumberFormat="1" applyFont="1" applyFill="1" applyBorder="1" applyAlignment="1">
      <alignment horizontal="center" vertical="center"/>
    </xf>
    <xf numFmtId="3" fontId="9" fillId="33" borderId="13" xfId="0" applyNumberFormat="1" applyFont="1" applyFill="1" applyBorder="1" applyAlignment="1" quotePrefix="1">
      <alignment horizontal="center" vertical="center"/>
    </xf>
    <xf numFmtId="3" fontId="11" fillId="33" borderId="0" xfId="0" applyNumberFormat="1" applyFont="1" applyFill="1" applyBorder="1" applyAlignment="1">
      <alignment horizontal="left"/>
    </xf>
    <xf numFmtId="3" fontId="11" fillId="33" borderId="0" xfId="0" applyNumberFormat="1" applyFont="1" applyFill="1" applyBorder="1" applyAlignment="1" quotePrefix="1">
      <alignment horizontal="left"/>
    </xf>
    <xf numFmtId="3" fontId="3" fillId="33" borderId="45" xfId="0" applyNumberFormat="1" applyFont="1" applyFill="1" applyBorder="1" applyAlignment="1">
      <alignment horizontal="left"/>
    </xf>
    <xf numFmtId="3" fontId="3" fillId="33" borderId="46" xfId="0" applyNumberFormat="1" applyFont="1" applyFill="1" applyBorder="1" applyAlignment="1">
      <alignment horizontal="left"/>
    </xf>
    <xf numFmtId="0" fontId="3" fillId="33" borderId="23" xfId="0" applyNumberFormat="1" applyFont="1" applyFill="1" applyBorder="1" applyAlignment="1">
      <alignment horizontal="left" wrapText="1"/>
    </xf>
    <xf numFmtId="0" fontId="3" fillId="33" borderId="47" xfId="0" applyNumberFormat="1" applyFont="1" applyFill="1" applyBorder="1" applyAlignment="1">
      <alignment horizontal="left" wrapText="1"/>
    </xf>
    <xf numFmtId="3" fontId="3" fillId="33" borderId="48" xfId="0" applyNumberFormat="1" applyFont="1" applyFill="1" applyBorder="1" applyAlignment="1">
      <alignment horizontal="left" wrapText="1"/>
    </xf>
    <xf numFmtId="3" fontId="3" fillId="33" borderId="49" xfId="0" applyNumberFormat="1" applyFont="1" applyFill="1" applyBorder="1" applyAlignment="1">
      <alignment horizontal="left" wrapText="1"/>
    </xf>
    <xf numFmtId="0" fontId="3" fillId="33" borderId="0" xfId="0" applyFont="1" applyFill="1" applyAlignment="1">
      <alignment horizontal="center" vertical="center"/>
    </xf>
    <xf numFmtId="3" fontId="4" fillId="33" borderId="0" xfId="0" applyNumberFormat="1" applyFont="1" applyFill="1" applyAlignment="1">
      <alignment horizontal="center"/>
    </xf>
    <xf numFmtId="3" fontId="3" fillId="33" borderId="12" xfId="0" applyNumberFormat="1" applyFont="1" applyFill="1" applyBorder="1" applyAlignment="1">
      <alignment horizontal="left" wrapText="1"/>
    </xf>
    <xf numFmtId="3" fontId="3" fillId="33" borderId="50" xfId="0" applyNumberFormat="1" applyFont="1" applyFill="1" applyBorder="1" applyAlignment="1">
      <alignment horizontal="left" wrapText="1"/>
    </xf>
    <xf numFmtId="3" fontId="2" fillId="33" borderId="25" xfId="0" applyNumberFormat="1" applyFont="1" applyFill="1" applyBorder="1" applyAlignment="1" quotePrefix="1">
      <alignment horizontal="center" vertical="center" wrapText="1"/>
    </xf>
    <xf numFmtId="0" fontId="2" fillId="33" borderId="51" xfId="0" applyNumberFormat="1" applyFont="1" applyFill="1" applyBorder="1" applyAlignment="1">
      <alignment horizontal="center" vertical="center" wrapText="1"/>
    </xf>
    <xf numFmtId="0" fontId="2" fillId="33" borderId="32" xfId="0" applyNumberFormat="1" applyFont="1" applyFill="1" applyBorder="1" applyAlignment="1" quotePrefix="1">
      <alignment horizontal="center" vertical="center" wrapText="1"/>
    </xf>
    <xf numFmtId="0" fontId="2" fillId="33" borderId="52" xfId="0" applyNumberFormat="1" applyFont="1" applyFill="1" applyBorder="1" applyAlignment="1">
      <alignment horizontal="center" vertical="center" wrapText="1"/>
    </xf>
    <xf numFmtId="0" fontId="2" fillId="33" borderId="30" xfId="0" applyNumberFormat="1" applyFont="1" applyFill="1" applyBorder="1" applyAlignment="1">
      <alignment horizontal="center" vertical="center" wrapText="1"/>
    </xf>
    <xf numFmtId="3" fontId="69" fillId="33" borderId="12" xfId="0" applyNumberFormat="1" applyFont="1" applyFill="1" applyBorder="1" applyAlignment="1">
      <alignment horizontal="left" vertical="center" wrapText="1"/>
    </xf>
    <xf numFmtId="3" fontId="69" fillId="33" borderId="50" xfId="0" applyNumberFormat="1" applyFont="1" applyFill="1" applyBorder="1" applyAlignment="1">
      <alignment horizontal="left" vertical="center" wrapText="1"/>
    </xf>
    <xf numFmtId="0" fontId="2" fillId="33" borderId="53" xfId="0" applyNumberFormat="1" applyFont="1" applyFill="1" applyBorder="1" applyAlignment="1" quotePrefix="1">
      <alignment horizontal="center" vertical="center" wrapText="1"/>
    </xf>
    <xf numFmtId="0" fontId="2" fillId="33" borderId="54" xfId="0" applyNumberFormat="1" applyFont="1" applyFill="1" applyBorder="1" applyAlignment="1">
      <alignment horizontal="center" vertical="center" wrapText="1"/>
    </xf>
    <xf numFmtId="0" fontId="67" fillId="33" borderId="0" xfId="0" applyFont="1" applyFill="1" applyAlignment="1">
      <alignment horizontal="center" vertical="center" wrapText="1"/>
    </xf>
    <xf numFmtId="0" fontId="79" fillId="33" borderId="0" xfId="0" applyFont="1" applyFill="1" applyAlignment="1">
      <alignment horizontal="left" wrapText="1"/>
    </xf>
    <xf numFmtId="0" fontId="11" fillId="33" borderId="0" xfId="0" applyFont="1" applyFill="1" applyBorder="1" applyAlignment="1">
      <alignment horizontal="left"/>
    </xf>
    <xf numFmtId="3" fontId="3" fillId="33" borderId="0" xfId="0" applyNumberFormat="1" applyFont="1" applyFill="1" applyAlignment="1">
      <alignment horizontal="center" vertical="center"/>
    </xf>
    <xf numFmtId="3" fontId="69" fillId="33" borderId="12" xfId="0" applyNumberFormat="1" applyFont="1" applyFill="1" applyBorder="1" applyAlignment="1">
      <alignment horizontal="left" wrapText="1"/>
    </xf>
    <xf numFmtId="3" fontId="69" fillId="33" borderId="50" xfId="0" applyNumberFormat="1" applyFont="1" applyFill="1" applyBorder="1" applyAlignment="1">
      <alignment horizontal="left" wrapText="1"/>
    </xf>
    <xf numFmtId="3" fontId="3" fillId="33" borderId="0" xfId="0" applyNumberFormat="1" applyFont="1" applyFill="1" applyBorder="1" applyAlignment="1">
      <alignment horizontal="left" wrapText="1"/>
    </xf>
    <xf numFmtId="3" fontId="12" fillId="33" borderId="12" xfId="0" applyNumberFormat="1" applyFont="1" applyFill="1" applyBorder="1" applyAlignment="1">
      <alignment horizontal="left" vertical="center" wrapText="1"/>
    </xf>
    <xf numFmtId="3" fontId="12" fillId="33" borderId="50" xfId="0" applyNumberFormat="1" applyFont="1" applyFill="1" applyBorder="1" applyAlignment="1">
      <alignment horizontal="left" vertical="center" wrapText="1"/>
    </xf>
    <xf numFmtId="0" fontId="72" fillId="33" borderId="38" xfId="0" applyNumberFormat="1" applyFont="1" applyFill="1" applyBorder="1" applyAlignment="1">
      <alignment horizontal="center" vertical="center" wrapText="1"/>
    </xf>
    <xf numFmtId="0" fontId="72" fillId="33" borderId="34" xfId="0" applyNumberFormat="1" applyFont="1" applyFill="1" applyBorder="1" applyAlignment="1" quotePrefix="1">
      <alignment horizontal="center" vertical="center" wrapText="1"/>
    </xf>
    <xf numFmtId="0" fontId="72" fillId="33" borderId="43" xfId="0" applyNumberFormat="1" applyFont="1" applyFill="1" applyBorder="1" applyAlignment="1">
      <alignment horizontal="center" vertical="center" wrapText="1"/>
    </xf>
    <xf numFmtId="0" fontId="72" fillId="33" borderId="35" xfId="0" applyNumberFormat="1" applyFont="1" applyFill="1" applyBorder="1" applyAlignment="1">
      <alignment horizontal="center" vertical="center" wrapText="1"/>
    </xf>
    <xf numFmtId="3" fontId="72" fillId="33" borderId="26" xfId="0" applyNumberFormat="1" applyFont="1" applyFill="1" applyBorder="1" applyAlignment="1">
      <alignment horizontal="center" vertical="center" wrapText="1"/>
    </xf>
    <xf numFmtId="3" fontId="72" fillId="33" borderId="25" xfId="0" applyNumberFormat="1" applyFont="1" applyFill="1" applyBorder="1" applyAlignment="1" quotePrefix="1">
      <alignment horizontal="center" vertical="center" wrapText="1"/>
    </xf>
    <xf numFmtId="3" fontId="69" fillId="33" borderId="12" xfId="0" applyNumberFormat="1" applyFont="1" applyFill="1" applyBorder="1" applyAlignment="1">
      <alignment horizontal="center" vertical="center"/>
    </xf>
    <xf numFmtId="3" fontId="69" fillId="33" borderId="13" xfId="0" applyNumberFormat="1" applyFont="1" applyFill="1" applyBorder="1" applyAlignment="1" quotePrefix="1">
      <alignment horizontal="center" vertical="center"/>
    </xf>
    <xf numFmtId="3" fontId="74" fillId="33" borderId="12" xfId="0" applyNumberFormat="1" applyFont="1" applyFill="1" applyBorder="1" applyAlignment="1">
      <alignment horizontal="left" vertical="center" wrapText="1"/>
    </xf>
    <xf numFmtId="3" fontId="74" fillId="33" borderId="50" xfId="0" applyNumberFormat="1" applyFont="1" applyFill="1" applyBorder="1" applyAlignment="1">
      <alignment horizontal="left" vertical="center" wrapText="1"/>
    </xf>
    <xf numFmtId="0" fontId="70" fillId="33" borderId="23" xfId="0" applyNumberFormat="1" applyFont="1" applyFill="1" applyBorder="1" applyAlignment="1">
      <alignment horizontal="left" wrapText="1"/>
    </xf>
    <xf numFmtId="0" fontId="70" fillId="33" borderId="47" xfId="0" applyNumberFormat="1" applyFont="1" applyFill="1" applyBorder="1" applyAlignment="1">
      <alignment horizontal="left" wrapText="1"/>
    </xf>
    <xf numFmtId="3" fontId="71" fillId="33" borderId="11" xfId="0" applyNumberFormat="1" applyFont="1" applyFill="1" applyBorder="1" applyAlignment="1">
      <alignment horizontal="left" vertical="center" wrapText="1"/>
    </xf>
    <xf numFmtId="3" fontId="70" fillId="33" borderId="12" xfId="0" applyNumberFormat="1" applyFont="1" applyFill="1" applyBorder="1" applyAlignment="1">
      <alignment horizontal="left" wrapText="1"/>
    </xf>
    <xf numFmtId="3" fontId="70" fillId="33" borderId="13" xfId="0" applyNumberFormat="1" applyFont="1" applyFill="1" applyBorder="1" applyAlignment="1">
      <alignment horizontal="left" wrapText="1"/>
    </xf>
    <xf numFmtId="0" fontId="80" fillId="33" borderId="0" xfId="0" applyFont="1" applyFill="1" applyAlignment="1">
      <alignment horizontal="center" vertical="center" wrapText="1"/>
    </xf>
    <xf numFmtId="3" fontId="79" fillId="33" borderId="0" xfId="0" applyNumberFormat="1" applyFont="1" applyFill="1" applyBorder="1" applyAlignment="1">
      <alignment horizontal="left"/>
    </xf>
    <xf numFmtId="3" fontId="79" fillId="33" borderId="0" xfId="0" applyNumberFormat="1" applyFont="1" applyFill="1" applyBorder="1" applyAlignment="1" quotePrefix="1">
      <alignment horizontal="left"/>
    </xf>
    <xf numFmtId="3" fontId="66" fillId="33" borderId="0" xfId="0" applyNumberFormat="1" applyFont="1" applyFill="1" applyAlignment="1">
      <alignment horizontal="center"/>
    </xf>
    <xf numFmtId="3" fontId="69" fillId="33" borderId="50" xfId="0" applyNumberFormat="1" applyFont="1" applyFill="1" applyBorder="1" applyAlignment="1" quotePrefix="1">
      <alignment horizontal="center" vertical="center"/>
    </xf>
    <xf numFmtId="0" fontId="72" fillId="33" borderId="51" xfId="0" applyNumberFormat="1" applyFont="1" applyFill="1" applyBorder="1" applyAlignment="1">
      <alignment horizontal="center" vertical="center" wrapText="1"/>
    </xf>
    <xf numFmtId="0" fontId="72" fillId="33" borderId="32" xfId="0" applyNumberFormat="1" applyFont="1" applyFill="1" applyBorder="1" applyAlignment="1" quotePrefix="1">
      <alignment horizontal="center" vertical="center" wrapText="1"/>
    </xf>
    <xf numFmtId="3" fontId="9" fillId="33" borderId="50" xfId="0" applyNumberFormat="1" applyFont="1" applyFill="1" applyBorder="1" applyAlignment="1" quotePrefix="1">
      <alignment horizontal="center" vertical="center"/>
    </xf>
    <xf numFmtId="3" fontId="7" fillId="33" borderId="12" xfId="0" applyNumberFormat="1" applyFont="1" applyFill="1" applyBorder="1" applyAlignment="1">
      <alignment horizontal="left" vertical="center"/>
    </xf>
    <xf numFmtId="3" fontId="7" fillId="33" borderId="50" xfId="0" applyNumberFormat="1" applyFont="1" applyFill="1" applyBorder="1" applyAlignment="1">
      <alignment horizontal="left" vertical="center"/>
    </xf>
    <xf numFmtId="0" fontId="2" fillId="33" borderId="35" xfId="0" applyNumberFormat="1" applyFont="1" applyFill="1" applyBorder="1" applyAlignment="1">
      <alignment horizontal="center" vertical="center" wrapText="1"/>
    </xf>
    <xf numFmtId="0" fontId="2" fillId="33" borderId="34" xfId="0" applyNumberFormat="1" applyFont="1" applyFill="1" applyBorder="1" applyAlignment="1" quotePrefix="1">
      <alignment horizontal="center" vertical="center" wrapText="1"/>
    </xf>
    <xf numFmtId="3" fontId="9" fillId="33" borderId="14" xfId="0" applyNumberFormat="1" applyFont="1" applyFill="1" applyBorder="1" applyAlignment="1">
      <alignment horizontal="center" vertical="center"/>
    </xf>
    <xf numFmtId="3" fontId="9" fillId="33" borderId="14" xfId="0" applyNumberFormat="1" applyFont="1" applyFill="1" applyBorder="1" applyAlignment="1" quotePrefix="1">
      <alignment horizontal="center" vertical="center"/>
    </xf>
    <xf numFmtId="0" fontId="0" fillId="33" borderId="17" xfId="0" applyFont="1" applyFill="1" applyBorder="1" applyAlignment="1">
      <alignment wrapText="1"/>
    </xf>
    <xf numFmtId="0" fontId="0" fillId="33" borderId="0" xfId="0" applyFill="1" applyAlignment="1">
      <alignment wrapText="1"/>
    </xf>
    <xf numFmtId="0" fontId="10" fillId="33" borderId="0" xfId="0" applyFont="1" applyFill="1" applyAlignment="1">
      <alignment horizontal="center" vertical="center" wrapText="1"/>
    </xf>
    <xf numFmtId="3" fontId="9" fillId="33" borderId="50" xfId="0" applyNumberFormat="1" applyFont="1" applyFill="1" applyBorder="1" applyAlignment="1">
      <alignment horizontal="center" vertical="center"/>
    </xf>
    <xf numFmtId="3" fontId="12" fillId="33" borderId="11" xfId="0" applyNumberFormat="1" applyFont="1" applyFill="1" applyBorder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bično_TABLICA PRM-IZ - 2005 -2007 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5.v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6.v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B2:I54"/>
  <sheetViews>
    <sheetView zoomScale="80" zoomScaleNormal="80" workbookViewId="0" topLeftCell="A1">
      <selection activeCell="A1" sqref="A1"/>
    </sheetView>
  </sheetViews>
  <sheetFormatPr defaultColWidth="9.140625" defaultRowHeight="12.75"/>
  <cols>
    <col min="1" max="1" width="24.7109375" style="99" customWidth="1"/>
    <col min="2" max="2" width="12.7109375" style="99" customWidth="1"/>
    <col min="3" max="3" width="76.7109375" style="99" customWidth="1"/>
    <col min="4" max="4" width="42.421875" style="99" customWidth="1"/>
    <col min="5" max="5" width="24.7109375" style="99" customWidth="1"/>
    <col min="6" max="6" width="12.8515625" style="99" bestFit="1" customWidth="1"/>
    <col min="7" max="7" width="14.140625" style="99" bestFit="1" customWidth="1"/>
    <col min="8" max="8" width="10.28125" style="99" bestFit="1" customWidth="1"/>
    <col min="9" max="9" width="9.57421875" style="99" bestFit="1" customWidth="1"/>
    <col min="10" max="16384" width="9.140625" style="99" customWidth="1"/>
  </cols>
  <sheetData>
    <row r="1" ht="33" customHeight="1"/>
    <row r="2" spans="2:5" s="157" customFormat="1" ht="79.5" customHeight="1">
      <c r="B2" s="207" t="s">
        <v>117</v>
      </c>
      <c r="C2" s="207"/>
      <c r="D2" s="207"/>
      <c r="E2" s="69"/>
    </row>
    <row r="3" spans="2:4" s="157" customFormat="1" ht="15.75" customHeight="1">
      <c r="B3" s="208"/>
      <c r="C3" s="209"/>
      <c r="D3" s="209"/>
    </row>
    <row r="4" spans="2:5" s="157" customFormat="1" ht="16.5" customHeight="1">
      <c r="B4" s="175" t="s">
        <v>22</v>
      </c>
      <c r="C4" s="176"/>
      <c r="D4" s="71" t="s">
        <v>21</v>
      </c>
      <c r="E4" s="72"/>
    </row>
    <row r="5" spans="2:5" s="157" customFormat="1" ht="15.75" customHeight="1">
      <c r="B5" s="175"/>
      <c r="C5" s="176"/>
      <c r="D5" s="71"/>
      <c r="E5" s="72"/>
    </row>
    <row r="6" spans="2:9" s="30" customFormat="1" ht="16.5" customHeight="1" thickBot="1">
      <c r="B6" s="223" t="s">
        <v>25</v>
      </c>
      <c r="C6" s="223"/>
      <c r="D6" s="57" t="s">
        <v>41</v>
      </c>
      <c r="E6" s="142"/>
      <c r="I6" s="143"/>
    </row>
    <row r="7" spans="2:5" s="157" customFormat="1" ht="19.5" customHeight="1">
      <c r="B7" s="210" t="s">
        <v>67</v>
      </c>
      <c r="C7" s="225" t="s">
        <v>0</v>
      </c>
      <c r="D7" s="214" t="s">
        <v>98</v>
      </c>
      <c r="E7" s="72"/>
    </row>
    <row r="8" spans="2:4" s="157" customFormat="1" ht="19.5" customHeight="1" thickBot="1">
      <c r="B8" s="211"/>
      <c r="C8" s="226"/>
      <c r="D8" s="215"/>
    </row>
    <row r="9" spans="2:4" s="157" customFormat="1" ht="24.75" customHeight="1">
      <c r="B9" s="177">
        <v>34</v>
      </c>
      <c r="C9" s="178" t="s">
        <v>23</v>
      </c>
      <c r="D9" s="179">
        <f>SUM(D10)</f>
        <v>15000</v>
      </c>
    </row>
    <row r="10" spans="2:4" s="157" customFormat="1" ht="19.5" customHeight="1">
      <c r="B10" s="180">
        <v>341</v>
      </c>
      <c r="C10" s="181" t="s">
        <v>68</v>
      </c>
      <c r="D10" s="179">
        <f>SUM(D11:D12)</f>
        <v>15000</v>
      </c>
    </row>
    <row r="11" spans="2:4" s="157" customFormat="1" ht="28.5" customHeight="1">
      <c r="B11" s="182">
        <v>3413</v>
      </c>
      <c r="C11" s="183" t="s">
        <v>114</v>
      </c>
      <c r="D11" s="184">
        <v>14900</v>
      </c>
    </row>
    <row r="12" spans="2:4" s="157" customFormat="1" ht="15.75" customHeight="1">
      <c r="B12" s="182">
        <v>3415</v>
      </c>
      <c r="C12" s="183" t="s">
        <v>69</v>
      </c>
      <c r="D12" s="185">
        <v>100</v>
      </c>
    </row>
    <row r="13" spans="2:4" s="157" customFormat="1" ht="24.75" customHeight="1">
      <c r="B13" s="180">
        <v>35</v>
      </c>
      <c r="C13" s="181" t="s">
        <v>24</v>
      </c>
      <c r="D13" s="186">
        <f>D14+D27</f>
        <v>216641003</v>
      </c>
    </row>
    <row r="14" spans="2:4" s="157" customFormat="1" ht="19.5" customHeight="1">
      <c r="B14" s="180">
        <v>351</v>
      </c>
      <c r="C14" s="181" t="s">
        <v>70</v>
      </c>
      <c r="D14" s="187">
        <f>SUM(D15:D26)</f>
        <v>216550555</v>
      </c>
    </row>
    <row r="15" spans="2:4" s="157" customFormat="1" ht="33" customHeight="1">
      <c r="B15" s="182">
        <v>3511</v>
      </c>
      <c r="C15" s="183" t="s">
        <v>95</v>
      </c>
      <c r="D15" s="62">
        <v>6825000</v>
      </c>
    </row>
    <row r="16" spans="2:4" s="157" customFormat="1" ht="33" customHeight="1">
      <c r="B16" s="182">
        <v>3511</v>
      </c>
      <c r="C16" s="183" t="s">
        <v>96</v>
      </c>
      <c r="D16" s="62">
        <v>2867904</v>
      </c>
    </row>
    <row r="17" spans="2:4" s="157" customFormat="1" ht="33" customHeight="1">
      <c r="B17" s="182">
        <v>3511</v>
      </c>
      <c r="C17" s="183" t="s">
        <v>93</v>
      </c>
      <c r="D17" s="62">
        <v>90675000</v>
      </c>
    </row>
    <row r="18" spans="2:4" s="157" customFormat="1" ht="30" customHeight="1">
      <c r="B18" s="182">
        <v>3511</v>
      </c>
      <c r="C18" s="183" t="s">
        <v>94</v>
      </c>
      <c r="D18" s="62">
        <v>67285235</v>
      </c>
    </row>
    <row r="19" spans="2:5" s="157" customFormat="1" ht="30" customHeight="1">
      <c r="B19" s="182">
        <v>3511</v>
      </c>
      <c r="C19" s="183" t="s">
        <v>86</v>
      </c>
      <c r="D19" s="62">
        <v>5698</v>
      </c>
      <c r="E19" s="188"/>
    </row>
    <row r="20" spans="2:4" s="157" customFormat="1" ht="30" customHeight="1">
      <c r="B20" s="182">
        <v>3511</v>
      </c>
      <c r="C20" s="183" t="s">
        <v>71</v>
      </c>
      <c r="D20" s="62">
        <v>8427220</v>
      </c>
    </row>
    <row r="21" spans="2:4" s="157" customFormat="1" ht="30" customHeight="1">
      <c r="B21" s="182">
        <v>3511</v>
      </c>
      <c r="C21" s="183" t="s">
        <v>72</v>
      </c>
      <c r="D21" s="62">
        <v>1275243</v>
      </c>
    </row>
    <row r="22" spans="2:4" s="157" customFormat="1" ht="30" customHeight="1">
      <c r="B22" s="182">
        <v>3512</v>
      </c>
      <c r="C22" s="183" t="s">
        <v>141</v>
      </c>
      <c r="D22" s="62">
        <v>281</v>
      </c>
    </row>
    <row r="23" spans="2:4" s="157" customFormat="1" ht="30" customHeight="1">
      <c r="B23" s="182">
        <v>3513</v>
      </c>
      <c r="C23" s="183" t="s">
        <v>91</v>
      </c>
      <c r="D23" s="62">
        <v>16868544</v>
      </c>
    </row>
    <row r="24" spans="2:4" s="157" customFormat="1" ht="30" customHeight="1">
      <c r="B24" s="182">
        <v>3513</v>
      </c>
      <c r="C24" s="183" t="s">
        <v>92</v>
      </c>
      <c r="D24" s="62">
        <v>21176234</v>
      </c>
    </row>
    <row r="25" spans="2:4" s="157" customFormat="1" ht="30" customHeight="1">
      <c r="B25" s="182">
        <v>3513</v>
      </c>
      <c r="C25" s="183" t="s">
        <v>97</v>
      </c>
      <c r="D25" s="62">
        <v>394196</v>
      </c>
    </row>
    <row r="26" spans="2:4" s="157" customFormat="1" ht="30" customHeight="1">
      <c r="B26" s="182">
        <v>3513</v>
      </c>
      <c r="C26" s="183" t="s">
        <v>103</v>
      </c>
      <c r="D26" s="62">
        <v>750000</v>
      </c>
    </row>
    <row r="27" spans="2:7" s="157" customFormat="1" ht="19.5" customHeight="1">
      <c r="B27" s="180">
        <v>352</v>
      </c>
      <c r="C27" s="181" t="s">
        <v>100</v>
      </c>
      <c r="D27" s="186">
        <f>SUM(D28:D31)</f>
        <v>90448</v>
      </c>
      <c r="E27" s="189"/>
      <c r="F27" s="189"/>
      <c r="G27" s="188"/>
    </row>
    <row r="28" spans="2:7" s="157" customFormat="1" ht="19.5" customHeight="1">
      <c r="B28" s="182">
        <v>3521</v>
      </c>
      <c r="C28" s="183" t="s">
        <v>115</v>
      </c>
      <c r="D28" s="190">
        <v>45000</v>
      </c>
      <c r="E28" s="189"/>
      <c r="F28" s="189"/>
      <c r="G28" s="188"/>
    </row>
    <row r="29" spans="2:5" s="157" customFormat="1" ht="26.25" customHeight="1">
      <c r="B29" s="182">
        <v>3521</v>
      </c>
      <c r="C29" s="183" t="s">
        <v>104</v>
      </c>
      <c r="D29" s="62">
        <v>12155</v>
      </c>
      <c r="E29" s="188"/>
    </row>
    <row r="30" spans="2:5" s="157" customFormat="1" ht="15.75" customHeight="1">
      <c r="B30" s="182">
        <v>3521</v>
      </c>
      <c r="C30" s="183" t="s">
        <v>101</v>
      </c>
      <c r="D30" s="62">
        <v>25793</v>
      </c>
      <c r="E30" s="188"/>
    </row>
    <row r="31" spans="2:5" s="157" customFormat="1" ht="15.75" customHeight="1">
      <c r="B31" s="182">
        <v>3521</v>
      </c>
      <c r="C31" s="183" t="s">
        <v>102</v>
      </c>
      <c r="D31" s="62">
        <v>7500</v>
      </c>
      <c r="E31" s="188"/>
    </row>
    <row r="32" spans="2:4" s="157" customFormat="1" ht="16.5" customHeight="1">
      <c r="B32" s="191">
        <v>36</v>
      </c>
      <c r="C32" s="192" t="s">
        <v>19</v>
      </c>
      <c r="D32" s="96">
        <f>D33+D35</f>
        <v>241564</v>
      </c>
    </row>
    <row r="33" spans="2:4" s="157" customFormat="1" ht="19.5" customHeight="1">
      <c r="B33" s="191">
        <v>361</v>
      </c>
      <c r="C33" s="192" t="s">
        <v>105</v>
      </c>
      <c r="D33" s="96">
        <f>SUM(D34)</f>
        <v>13000</v>
      </c>
    </row>
    <row r="34" spans="2:4" s="157" customFormat="1" ht="15.75" customHeight="1">
      <c r="B34" s="201">
        <v>3612</v>
      </c>
      <c r="C34" s="202" t="s">
        <v>106</v>
      </c>
      <c r="D34" s="94">
        <v>13000</v>
      </c>
    </row>
    <row r="35" spans="2:4" s="157" customFormat="1" ht="19.5" customHeight="1">
      <c r="B35" s="203">
        <v>363</v>
      </c>
      <c r="C35" s="204" t="s">
        <v>145</v>
      </c>
      <c r="D35" s="96">
        <f>SUM(D36)</f>
        <v>228564</v>
      </c>
    </row>
    <row r="36" spans="2:4" s="157" customFormat="1" ht="15.75" customHeight="1" thickBot="1">
      <c r="B36" s="193">
        <v>3633</v>
      </c>
      <c r="C36" s="194" t="s">
        <v>144</v>
      </c>
      <c r="D36" s="94">
        <v>228564</v>
      </c>
    </row>
    <row r="37" spans="2:4" s="157" customFormat="1" ht="19.5" customHeight="1">
      <c r="B37" s="218" t="s">
        <v>26</v>
      </c>
      <c r="C37" s="219"/>
      <c r="D37" s="216">
        <f>D9+D13+D32</f>
        <v>216897567</v>
      </c>
    </row>
    <row r="38" spans="2:9" s="157" customFormat="1" ht="30" customHeight="1" thickBot="1">
      <c r="B38" s="220"/>
      <c r="C38" s="221"/>
      <c r="D38" s="217"/>
      <c r="E38" s="188"/>
      <c r="F38" s="188"/>
      <c r="G38" s="188"/>
      <c r="I38" s="188"/>
    </row>
    <row r="39" spans="2:4" s="157" customFormat="1" ht="30" customHeight="1" thickBot="1">
      <c r="B39" s="212" t="s">
        <v>99</v>
      </c>
      <c r="C39" s="213"/>
      <c r="D39" s="195">
        <v>44861009</v>
      </c>
    </row>
    <row r="40" spans="2:4" s="157" customFormat="1" ht="30" customHeight="1" thickBot="1">
      <c r="B40" s="212" t="s">
        <v>73</v>
      </c>
      <c r="C40" s="213"/>
      <c r="D40" s="78">
        <f>D37+D39</f>
        <v>261758576</v>
      </c>
    </row>
    <row r="41" spans="2:4" s="157" customFormat="1" ht="30" customHeight="1" thickBot="1">
      <c r="B41" s="196"/>
      <c r="C41" s="197"/>
      <c r="D41" s="197"/>
    </row>
    <row r="42" spans="2:5" s="157" customFormat="1" ht="39.75" customHeight="1" thickBot="1">
      <c r="B42" s="229" t="s">
        <v>107</v>
      </c>
      <c r="C42" s="229"/>
      <c r="D42" s="195">
        <v>54861009</v>
      </c>
      <c r="E42" s="198"/>
    </row>
    <row r="43" spans="2:4" s="157" customFormat="1" ht="33.75" customHeight="1" thickBot="1">
      <c r="B43" s="222" t="s">
        <v>143</v>
      </c>
      <c r="C43" s="222"/>
      <c r="D43" s="109">
        <v>44861009</v>
      </c>
    </row>
    <row r="44" spans="2:4" s="157" customFormat="1" ht="33.75" customHeight="1" thickBot="1" thickTop="1">
      <c r="B44" s="224" t="s">
        <v>142</v>
      </c>
      <c r="C44" s="224"/>
      <c r="D44" s="199">
        <f>D42-D43</f>
        <v>10000000</v>
      </c>
    </row>
    <row r="45" spans="2:4" s="30" customFormat="1" ht="15.75">
      <c r="B45" s="228"/>
      <c r="C45" s="228"/>
      <c r="D45" s="228"/>
    </row>
    <row r="46" spans="2:4" s="30" customFormat="1" ht="18">
      <c r="B46" s="227" t="s">
        <v>146</v>
      </c>
      <c r="C46" s="227"/>
      <c r="D46" s="90"/>
    </row>
    <row r="47" spans="2:4" s="157" customFormat="1" ht="30" customHeight="1">
      <c r="B47" s="91" t="s">
        <v>147</v>
      </c>
      <c r="C47" s="92"/>
      <c r="D47" s="93" t="s">
        <v>64</v>
      </c>
    </row>
    <row r="48" spans="2:4" s="157" customFormat="1" ht="15.75">
      <c r="B48" s="91" t="s">
        <v>148</v>
      </c>
      <c r="C48" s="30"/>
      <c r="D48" s="68"/>
    </row>
    <row r="49" s="157" customFormat="1" ht="15">
      <c r="D49" s="200"/>
    </row>
    <row r="50" s="157" customFormat="1" ht="15"/>
    <row r="51" s="157" customFormat="1" ht="15"/>
    <row r="52" s="157" customFormat="1" ht="15"/>
    <row r="53" spans="2:4" ht="15">
      <c r="B53" s="157"/>
      <c r="C53" s="157"/>
      <c r="D53" s="157"/>
    </row>
    <row r="54" spans="2:4" ht="15">
      <c r="B54" s="157"/>
      <c r="C54" s="157"/>
      <c r="D54" s="157"/>
    </row>
  </sheetData>
  <sheetProtection password="9BB3" sheet="1"/>
  <mergeCells count="15">
    <mergeCell ref="B43:C43"/>
    <mergeCell ref="B6:C6"/>
    <mergeCell ref="B44:C44"/>
    <mergeCell ref="C7:C8"/>
    <mergeCell ref="B46:C46"/>
    <mergeCell ref="B45:D45"/>
    <mergeCell ref="B42:C42"/>
    <mergeCell ref="B2:D2"/>
    <mergeCell ref="B3:D3"/>
    <mergeCell ref="B7:B8"/>
    <mergeCell ref="B40:C40"/>
    <mergeCell ref="D7:D8"/>
    <mergeCell ref="D37:D38"/>
    <mergeCell ref="B37:C38"/>
    <mergeCell ref="B39:C39"/>
  </mergeCells>
  <printOptions/>
  <pageMargins left="0.5905511811023623" right="0.5905511811023623" top="1.31" bottom="0.6692913385826772" header="0.4724409448818898" footer="0.2755905511811024"/>
  <pageSetup horizontalDpi="600" verticalDpi="600" orientation="portrait" paperSize="9" scale="49" r:id="rId2"/>
  <headerFooter alignWithMargins="0">
    <oddHeader>&amp;L&amp;G
Hrvatska zaklada za znanost
Ilica 24, 10000 Zagreb&amp;R
</oddHeader>
    <oddFooter>&amp;CIlica 24, 10000 Zagreb / Vladimira Nazora 2, 51410 Opatija 
tel 051 228-690 faks 051 271-085 www.hrzz.hr MB 1626841 OIB 88776522763 IBAN HR3323600001101575620&amp;RFinancijski plan za 2021. godinu str. &amp;P od &amp;N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E45"/>
  <sheetViews>
    <sheetView zoomScale="80" zoomScaleNormal="80" workbookViewId="0" topLeftCell="A1">
      <selection activeCell="A1" sqref="A1"/>
    </sheetView>
  </sheetViews>
  <sheetFormatPr defaultColWidth="9.140625" defaultRowHeight="12.75"/>
  <cols>
    <col min="1" max="1" width="24.7109375" style="30" customWidth="1"/>
    <col min="2" max="2" width="13.140625" style="30" customWidth="1"/>
    <col min="3" max="3" width="66.421875" style="30" customWidth="1"/>
    <col min="4" max="4" width="43.57421875" style="68" customWidth="1"/>
    <col min="5" max="5" width="24.7109375" style="30" customWidth="1"/>
    <col min="6" max="16384" width="9.140625" style="30" customWidth="1"/>
  </cols>
  <sheetData>
    <row r="1" ht="33" customHeight="1"/>
    <row r="2" spans="2:4" ht="79.5" customHeight="1">
      <c r="B2" s="207" t="s">
        <v>123</v>
      </c>
      <c r="C2" s="207"/>
      <c r="D2" s="207"/>
    </row>
    <row r="3" ht="15.75" customHeight="1">
      <c r="D3" s="70"/>
    </row>
    <row r="4" spans="2:4" ht="18" customHeight="1">
      <c r="B4" s="232" t="s">
        <v>65</v>
      </c>
      <c r="C4" s="233"/>
      <c r="D4" s="71" t="s">
        <v>21</v>
      </c>
    </row>
    <row r="5" spans="2:4" ht="15.75">
      <c r="B5" s="241"/>
      <c r="C5" s="241"/>
      <c r="D5" s="73"/>
    </row>
    <row r="6" spans="2:4" ht="16.5" customHeight="1" thickBot="1">
      <c r="B6" s="74"/>
      <c r="C6" s="74"/>
      <c r="D6" s="57" t="s">
        <v>41</v>
      </c>
    </row>
    <row r="7" spans="2:4" ht="16.5" customHeight="1" thickBot="1">
      <c r="B7" s="285" t="s">
        <v>25</v>
      </c>
      <c r="C7" s="286"/>
      <c r="D7" s="77" t="s">
        <v>98</v>
      </c>
    </row>
    <row r="8" spans="2:4" ht="16.5" customHeight="1" thickBot="1">
      <c r="B8" s="236" t="s">
        <v>90</v>
      </c>
      <c r="C8" s="237"/>
      <c r="D8" s="1">
        <v>394196</v>
      </c>
    </row>
    <row r="9" spans="2:4" ht="19.5" customHeight="1" thickBot="1">
      <c r="B9" s="230" t="s">
        <v>26</v>
      </c>
      <c r="C9" s="231"/>
      <c r="D9" s="78">
        <f>SUM(D8:D8)</f>
        <v>394196</v>
      </c>
    </row>
    <row r="10" spans="2:4" ht="15.75">
      <c r="B10" s="79"/>
      <c r="C10" s="79"/>
      <c r="D10" s="80"/>
    </row>
    <row r="11" spans="2:4" ht="16.5" customHeight="1" thickBot="1">
      <c r="B11" s="223" t="s">
        <v>55</v>
      </c>
      <c r="C11" s="223"/>
      <c r="D11" s="57" t="s">
        <v>41</v>
      </c>
    </row>
    <row r="12" spans="2:4" ht="15.75" customHeight="1">
      <c r="B12" s="245" t="s">
        <v>20</v>
      </c>
      <c r="C12" s="225" t="s">
        <v>0</v>
      </c>
      <c r="D12" s="214" t="s">
        <v>98</v>
      </c>
    </row>
    <row r="13" spans="2:4" ht="15.75">
      <c r="B13" s="246"/>
      <c r="C13" s="287"/>
      <c r="D13" s="244"/>
    </row>
    <row r="14" spans="2:4" ht="18" customHeight="1">
      <c r="B14" s="112">
        <v>41</v>
      </c>
      <c r="C14" s="82" t="s">
        <v>60</v>
      </c>
      <c r="D14" s="20">
        <f>D15+D17+D19</f>
        <v>221208.24</v>
      </c>
    </row>
    <row r="15" spans="2:4" ht="15.75">
      <c r="B15" s="44">
        <v>411</v>
      </c>
      <c r="C15" s="84" t="s">
        <v>1</v>
      </c>
      <c r="D15" s="23">
        <f>SUM(D16)</f>
        <v>184728</v>
      </c>
    </row>
    <row r="16" spans="2:4" ht="15.75">
      <c r="B16" s="117">
        <v>4111</v>
      </c>
      <c r="C16" s="118" t="s">
        <v>2</v>
      </c>
      <c r="D16" s="26">
        <v>184728</v>
      </c>
    </row>
    <row r="17" spans="2:4" ht="15.75">
      <c r="B17" s="119">
        <v>412</v>
      </c>
      <c r="C17" s="120" t="s">
        <v>61</v>
      </c>
      <c r="D17" s="29">
        <f>SUM(D18)</f>
        <v>6000</v>
      </c>
    </row>
    <row r="18" spans="2:4" ht="15.75">
      <c r="B18" s="117">
        <v>4121</v>
      </c>
      <c r="C18" s="118" t="s">
        <v>61</v>
      </c>
      <c r="D18" s="26">
        <v>6000</v>
      </c>
    </row>
    <row r="19" spans="2:4" ht="17.25" customHeight="1">
      <c r="B19" s="44">
        <v>413</v>
      </c>
      <c r="C19" s="84" t="s">
        <v>3</v>
      </c>
      <c r="D19" s="23">
        <f>SUM(D20:D20)</f>
        <v>30480.24</v>
      </c>
    </row>
    <row r="20" spans="2:4" ht="15.75">
      <c r="B20" s="117">
        <v>4131</v>
      </c>
      <c r="C20" s="118" t="s">
        <v>4</v>
      </c>
      <c r="D20" s="26">
        <v>30480.24</v>
      </c>
    </row>
    <row r="21" spans="2:4" ht="18" customHeight="1">
      <c r="B21" s="112">
        <v>42</v>
      </c>
      <c r="C21" s="82" t="s">
        <v>5</v>
      </c>
      <c r="D21" s="20">
        <f>D22+D24</f>
        <v>166790</v>
      </c>
    </row>
    <row r="22" spans="2:4" ht="15.75">
      <c r="B22" s="44">
        <v>421</v>
      </c>
      <c r="C22" s="84" t="s">
        <v>29</v>
      </c>
      <c r="D22" s="23">
        <f>SUM(D23:D23)</f>
        <v>5040</v>
      </c>
    </row>
    <row r="23" spans="2:4" ht="15.75">
      <c r="B23" s="31">
        <v>4212</v>
      </c>
      <c r="C23" s="32" t="s">
        <v>78</v>
      </c>
      <c r="D23" s="33">
        <v>5040</v>
      </c>
    </row>
    <row r="24" spans="2:5" ht="16.5" customHeight="1">
      <c r="B24" s="44">
        <v>425</v>
      </c>
      <c r="C24" s="84" t="s">
        <v>11</v>
      </c>
      <c r="D24" s="23">
        <f>SUM(D25:D26)</f>
        <v>161750</v>
      </c>
      <c r="E24" s="73"/>
    </row>
    <row r="25" spans="2:5" ht="15.75">
      <c r="B25" s="31">
        <v>4253</v>
      </c>
      <c r="C25" s="32" t="s">
        <v>18</v>
      </c>
      <c r="D25" s="33">
        <v>50000</v>
      </c>
      <c r="E25" s="121"/>
    </row>
    <row r="26" spans="2:4" ht="15.75">
      <c r="B26" s="31">
        <v>4258</v>
      </c>
      <c r="C26" s="32" t="s">
        <v>33</v>
      </c>
      <c r="D26" s="33">
        <v>111750</v>
      </c>
    </row>
    <row r="27" spans="2:4" ht="18" customHeight="1">
      <c r="B27" s="112">
        <v>43</v>
      </c>
      <c r="C27" s="59" t="s">
        <v>28</v>
      </c>
      <c r="D27" s="20">
        <f>D28</f>
        <v>6198</v>
      </c>
    </row>
    <row r="28" spans="2:4" ht="15.75">
      <c r="B28" s="44">
        <v>431</v>
      </c>
      <c r="C28" s="45" t="s">
        <v>34</v>
      </c>
      <c r="D28" s="23">
        <f>SUM(D29)</f>
        <v>6198</v>
      </c>
    </row>
    <row r="29" spans="2:4" ht="16.5" thickBot="1">
      <c r="B29" s="46">
        <v>4311</v>
      </c>
      <c r="C29" s="47" t="s">
        <v>34</v>
      </c>
      <c r="D29" s="33">
        <v>6198</v>
      </c>
    </row>
    <row r="30" spans="2:4" ht="19.5" customHeight="1" thickBot="1">
      <c r="B30" s="230" t="s">
        <v>27</v>
      </c>
      <c r="C30" s="284"/>
      <c r="D30" s="48">
        <f>D14+D21+D27</f>
        <v>394196.24</v>
      </c>
    </row>
    <row r="31" spans="2:4" ht="18.75" thickBot="1">
      <c r="B31" s="64"/>
      <c r="C31" s="65"/>
      <c r="D31" s="90"/>
    </row>
    <row r="32" spans="2:4" ht="39.75" customHeight="1" thickBot="1">
      <c r="B32" s="270" t="s">
        <v>113</v>
      </c>
      <c r="C32" s="271"/>
      <c r="D32" s="53">
        <f>500000-D30</f>
        <v>105803.76000000001</v>
      </c>
    </row>
    <row r="33" spans="2:4" ht="18" customHeight="1">
      <c r="B33" s="88"/>
      <c r="C33" s="88"/>
      <c r="D33" s="89"/>
    </row>
    <row r="34" ht="15.75" customHeight="1"/>
    <row r="35" spans="2:4" ht="16.5" customHeight="1" thickBot="1">
      <c r="B35" s="223" t="s">
        <v>66</v>
      </c>
      <c r="C35" s="223"/>
      <c r="D35" s="57" t="s">
        <v>41</v>
      </c>
    </row>
    <row r="36" spans="2:4" ht="21.75" customHeight="1">
      <c r="B36" s="245" t="s">
        <v>53</v>
      </c>
      <c r="C36" s="247" t="s">
        <v>0</v>
      </c>
      <c r="D36" s="214" t="s">
        <v>98</v>
      </c>
    </row>
    <row r="37" spans="2:4" ht="18" customHeight="1" thickBot="1">
      <c r="B37" s="251"/>
      <c r="C37" s="252"/>
      <c r="D37" s="215"/>
    </row>
    <row r="38" spans="2:4" ht="16.5" customHeight="1">
      <c r="B38" s="58" t="s">
        <v>46</v>
      </c>
      <c r="C38" s="59" t="s">
        <v>47</v>
      </c>
      <c r="D38" s="60">
        <f>D39</f>
        <v>42500</v>
      </c>
    </row>
    <row r="39" spans="2:4" ht="16.5" customHeight="1">
      <c r="B39" s="122" t="s">
        <v>48</v>
      </c>
      <c r="C39" s="45" t="s">
        <v>49</v>
      </c>
      <c r="D39" s="96">
        <f>D40</f>
        <v>42500</v>
      </c>
    </row>
    <row r="40" spans="2:4" ht="16.5" customHeight="1" thickBot="1">
      <c r="B40" s="61" t="s">
        <v>40</v>
      </c>
      <c r="C40" s="47" t="s">
        <v>52</v>
      </c>
      <c r="D40" s="62">
        <v>42500</v>
      </c>
    </row>
    <row r="41" spans="2:4" ht="19.5" customHeight="1" thickBot="1">
      <c r="B41" s="230" t="s">
        <v>54</v>
      </c>
      <c r="C41" s="231"/>
      <c r="D41" s="63">
        <f>D38</f>
        <v>42500</v>
      </c>
    </row>
    <row r="42" spans="2:4" ht="18">
      <c r="B42" s="64"/>
      <c r="C42" s="65"/>
      <c r="D42" s="66"/>
    </row>
    <row r="43" spans="2:4" ht="18">
      <c r="B43" s="227" t="s">
        <v>146</v>
      </c>
      <c r="C43" s="227"/>
      <c r="D43" s="90"/>
    </row>
    <row r="44" spans="2:4" ht="30" customHeight="1">
      <c r="B44" s="91" t="s">
        <v>147</v>
      </c>
      <c r="C44" s="92"/>
      <c r="D44" s="93" t="s">
        <v>64</v>
      </c>
    </row>
    <row r="45" ht="15.75">
      <c r="B45" s="91" t="s">
        <v>148</v>
      </c>
    </row>
  </sheetData>
  <sheetProtection password="9BB3" sheet="1"/>
  <mergeCells count="18">
    <mergeCell ref="B36:B37"/>
    <mergeCell ref="C36:C37"/>
    <mergeCell ref="D36:D37"/>
    <mergeCell ref="B41:C41"/>
    <mergeCell ref="B43:C43"/>
    <mergeCell ref="B11:C11"/>
    <mergeCell ref="B12:B13"/>
    <mergeCell ref="C12:C13"/>
    <mergeCell ref="D12:D13"/>
    <mergeCell ref="B35:C35"/>
    <mergeCell ref="B30:C30"/>
    <mergeCell ref="B32:C32"/>
    <mergeCell ref="B2:D2"/>
    <mergeCell ref="B4:C4"/>
    <mergeCell ref="B5:C5"/>
    <mergeCell ref="B7:C7"/>
    <mergeCell ref="B8:C8"/>
    <mergeCell ref="B9:C9"/>
  </mergeCells>
  <printOptions/>
  <pageMargins left="0.5905511811023623" right="0.5905511811023623" top="1.31" bottom="0.6692913385826772" header="0.4724409448818898" footer="0.2755905511811024"/>
  <pageSetup horizontalDpi="600" verticalDpi="600" orientation="portrait" paperSize="9" scale="49" r:id="rId2"/>
  <headerFooter alignWithMargins="0">
    <oddHeader>&amp;L&amp;G
Hrvatska zaklada za znanost
Ilica 24, 10000 Zagreb&amp;R
</oddHeader>
    <oddFooter>&amp;CIlica 24, 10000 Zagreb / Vladimira Nazora 2, 51410 Opatija 
tel 051 228-690 faks 051 271-085 www.hrzz.hr MB 1626841 OIB 88776522763 IBAN HR3323600001101575620&amp;RFinancijski plan za 2021. godinu str. &amp;P od &amp;N</oddFooter>
  </headerFooter>
  <legacyDrawingHF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J29"/>
  <sheetViews>
    <sheetView zoomScale="80" zoomScaleNormal="80" workbookViewId="0" topLeftCell="A1">
      <selection activeCell="A1" sqref="A1"/>
    </sheetView>
  </sheetViews>
  <sheetFormatPr defaultColWidth="9.140625" defaultRowHeight="12.75"/>
  <cols>
    <col min="1" max="1" width="24.7109375" style="30" customWidth="1"/>
    <col min="2" max="2" width="13.140625" style="30" customWidth="1"/>
    <col min="3" max="3" width="66.421875" style="30" customWidth="1"/>
    <col min="4" max="4" width="43.57421875" style="68" customWidth="1"/>
    <col min="5" max="5" width="24.7109375" style="30" customWidth="1"/>
    <col min="6" max="6" width="15.28125" style="30" customWidth="1"/>
    <col min="7" max="16384" width="9.140625" style="30" customWidth="1"/>
  </cols>
  <sheetData>
    <row r="1" ht="33" customHeight="1"/>
    <row r="2" spans="2:10" ht="64.5" customHeight="1">
      <c r="B2" s="207" t="s">
        <v>134</v>
      </c>
      <c r="C2" s="207"/>
      <c r="D2" s="207"/>
      <c r="E2" s="69"/>
      <c r="F2" s="69"/>
      <c r="G2" s="69"/>
      <c r="H2" s="69"/>
      <c r="I2" s="69"/>
      <c r="J2" s="69"/>
    </row>
    <row r="3" ht="15.75" customHeight="1">
      <c r="D3" s="70"/>
    </row>
    <row r="4" spans="2:10" ht="18" customHeight="1">
      <c r="B4" s="232" t="s">
        <v>65</v>
      </c>
      <c r="C4" s="233"/>
      <c r="D4" s="71" t="s">
        <v>21</v>
      </c>
      <c r="E4" s="72"/>
      <c r="F4" s="72"/>
      <c r="G4" s="72"/>
      <c r="H4" s="72"/>
      <c r="I4" s="72"/>
      <c r="J4" s="72"/>
    </row>
    <row r="5" spans="2:4" ht="15.75">
      <c r="B5" s="241"/>
      <c r="C5" s="241"/>
      <c r="D5" s="73"/>
    </row>
    <row r="6" spans="2:4" ht="16.5" customHeight="1" thickBot="1">
      <c r="B6" s="74"/>
      <c r="C6" s="74"/>
      <c r="D6" s="57" t="s">
        <v>41</v>
      </c>
    </row>
    <row r="7" spans="2:4" ht="16.5" customHeight="1" thickBot="1">
      <c r="B7" s="75" t="s">
        <v>25</v>
      </c>
      <c r="C7" s="76"/>
      <c r="D7" s="77" t="s">
        <v>98</v>
      </c>
    </row>
    <row r="8" spans="2:4" ht="16.5" thickBot="1">
      <c r="B8" s="236" t="s">
        <v>81</v>
      </c>
      <c r="C8" s="237"/>
      <c r="D8" s="1">
        <f>7973520+453700</f>
        <v>8427220</v>
      </c>
    </row>
    <row r="9" spans="2:4" ht="19.5" customHeight="1" thickBot="1">
      <c r="B9" s="230" t="s">
        <v>26</v>
      </c>
      <c r="C9" s="231"/>
      <c r="D9" s="78">
        <f>SUM(D8:D8)</f>
        <v>8427220</v>
      </c>
    </row>
    <row r="10" spans="2:4" ht="15.75">
      <c r="B10" s="79"/>
      <c r="C10" s="79"/>
      <c r="D10" s="80"/>
    </row>
    <row r="11" spans="2:4" ht="16.5" customHeight="1" thickBot="1">
      <c r="B11" s="223" t="s">
        <v>55</v>
      </c>
      <c r="C11" s="223"/>
      <c r="D11" s="57" t="s">
        <v>41</v>
      </c>
    </row>
    <row r="12" spans="2:4" ht="15.75">
      <c r="B12" s="210" t="s">
        <v>20</v>
      </c>
      <c r="C12" s="225" t="s">
        <v>0</v>
      </c>
      <c r="D12" s="214" t="s">
        <v>98</v>
      </c>
    </row>
    <row r="13" spans="2:4" ht="15.75">
      <c r="B13" s="288"/>
      <c r="C13" s="287"/>
      <c r="D13" s="244"/>
    </row>
    <row r="14" spans="2:4" ht="18">
      <c r="B14" s="81">
        <v>42</v>
      </c>
      <c r="C14" s="82" t="s">
        <v>5</v>
      </c>
      <c r="D14" s="20">
        <f>D15+D18</f>
        <v>139750</v>
      </c>
    </row>
    <row r="15" spans="2:4" ht="15.75">
      <c r="B15" s="83">
        <v>424</v>
      </c>
      <c r="C15" s="84" t="s">
        <v>31</v>
      </c>
      <c r="D15" s="23">
        <f>SUM(D16:D17)</f>
        <v>21500</v>
      </c>
    </row>
    <row r="16" spans="2:4" ht="15.75">
      <c r="B16" s="85">
        <v>4241</v>
      </c>
      <c r="C16" s="32" t="s">
        <v>32</v>
      </c>
      <c r="D16" s="33">
        <v>2000</v>
      </c>
    </row>
    <row r="17" spans="2:4" ht="15.75">
      <c r="B17" s="85">
        <v>4242</v>
      </c>
      <c r="C17" s="32" t="s">
        <v>30</v>
      </c>
      <c r="D17" s="33">
        <v>19500</v>
      </c>
    </row>
    <row r="18" spans="2:4" ht="15.75">
      <c r="B18" s="83">
        <v>425</v>
      </c>
      <c r="C18" s="84" t="s">
        <v>11</v>
      </c>
      <c r="D18" s="23">
        <f>D19</f>
        <v>118250</v>
      </c>
    </row>
    <row r="19" spans="2:4" ht="15.75">
      <c r="B19" s="85">
        <v>4257</v>
      </c>
      <c r="C19" s="32" t="s">
        <v>16</v>
      </c>
      <c r="D19" s="33">
        <v>118250</v>
      </c>
    </row>
    <row r="20" spans="2:4" ht="18">
      <c r="B20" s="81">
        <v>45</v>
      </c>
      <c r="C20" s="82" t="s">
        <v>87</v>
      </c>
      <c r="D20" s="20">
        <f>D21</f>
        <v>8287470</v>
      </c>
    </row>
    <row r="21" spans="2:4" ht="15.75">
      <c r="B21" s="83">
        <v>451</v>
      </c>
      <c r="C21" s="84" t="s">
        <v>88</v>
      </c>
      <c r="D21" s="23">
        <f>SUM(D22)</f>
        <v>8287470</v>
      </c>
    </row>
    <row r="22" spans="2:4" ht="16.5" thickBot="1">
      <c r="B22" s="85">
        <v>4511</v>
      </c>
      <c r="C22" s="86" t="s">
        <v>88</v>
      </c>
      <c r="D22" s="33">
        <v>8287470</v>
      </c>
    </row>
    <row r="23" spans="2:4" ht="19.5" customHeight="1" thickBot="1">
      <c r="B23" s="289" t="s">
        <v>27</v>
      </c>
      <c r="C23" s="290"/>
      <c r="D23" s="48">
        <f>D14+D20</f>
        <v>8427220</v>
      </c>
    </row>
    <row r="24" spans="2:4" ht="18.75" thickBot="1">
      <c r="B24" s="64"/>
      <c r="C24" s="65"/>
      <c r="D24" s="87"/>
    </row>
    <row r="25" spans="2:4" ht="39.75" customHeight="1" thickBot="1">
      <c r="B25" s="270" t="s">
        <v>113</v>
      </c>
      <c r="C25" s="271"/>
      <c r="D25" s="53">
        <f>2076309+7973520-D23</f>
        <v>1622609</v>
      </c>
    </row>
    <row r="26" spans="2:4" ht="18">
      <c r="B26" s="88"/>
      <c r="C26" s="88"/>
      <c r="D26" s="89"/>
    </row>
    <row r="27" spans="2:4" ht="18">
      <c r="B27" s="227" t="s">
        <v>146</v>
      </c>
      <c r="C27" s="227"/>
      <c r="D27" s="90"/>
    </row>
    <row r="28" spans="2:4" ht="30" customHeight="1">
      <c r="B28" s="91" t="s">
        <v>147</v>
      </c>
      <c r="C28" s="92"/>
      <c r="D28" s="93" t="s">
        <v>64</v>
      </c>
    </row>
    <row r="29" ht="15.75">
      <c r="B29" s="91" t="s">
        <v>148</v>
      </c>
    </row>
  </sheetData>
  <sheetProtection password="9BB3" sheet="1"/>
  <mergeCells count="12">
    <mergeCell ref="B27:C27"/>
    <mergeCell ref="D12:D13"/>
    <mergeCell ref="B25:C25"/>
    <mergeCell ref="B23:C23"/>
    <mergeCell ref="B8:C8"/>
    <mergeCell ref="B9:C9"/>
    <mergeCell ref="B11:C11"/>
    <mergeCell ref="B2:D2"/>
    <mergeCell ref="B4:C4"/>
    <mergeCell ref="B5:C5"/>
    <mergeCell ref="B12:B13"/>
    <mergeCell ref="C12:C13"/>
  </mergeCells>
  <printOptions/>
  <pageMargins left="0.5905511811023623" right="0.5905511811023623" top="1.31" bottom="0.6692913385826772" header="0.4724409448818898" footer="0.2755905511811024"/>
  <pageSetup horizontalDpi="600" verticalDpi="600" orientation="portrait" paperSize="9" scale="49" r:id="rId2"/>
  <headerFooter alignWithMargins="0">
    <oddHeader>&amp;L&amp;G
Hrvatska zaklada za znanost
Ilica 24, 10000 Zagreb&amp;R
</oddHeader>
    <oddFooter>&amp;CIlica 24, 10000 Zagreb / Vladimira Nazora 2, 51410 Opatija 
tel 051 228-690 faks 051 271-085 www.hrzz.hr MB 1626841 OIB 88776522763 IBAN HR3323600001101575620&amp;RFinancijski plan za 2021. godinu str. &amp;P od &amp;N</oddFooter>
  </headerFooter>
  <legacyDrawingHF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D31"/>
  <sheetViews>
    <sheetView zoomScale="80" zoomScaleNormal="80" workbookViewId="0" topLeftCell="A1">
      <selection activeCell="A1" sqref="A1"/>
    </sheetView>
  </sheetViews>
  <sheetFormatPr defaultColWidth="9.140625" defaultRowHeight="12.75"/>
  <cols>
    <col min="1" max="1" width="24.7109375" style="30" customWidth="1"/>
    <col min="2" max="2" width="13.140625" style="30" customWidth="1"/>
    <col min="3" max="3" width="66.421875" style="30" customWidth="1"/>
    <col min="4" max="4" width="43.57421875" style="68" customWidth="1"/>
    <col min="5" max="5" width="24.7109375" style="30" customWidth="1"/>
    <col min="6" max="16384" width="9.140625" style="30" customWidth="1"/>
  </cols>
  <sheetData>
    <row r="1" ht="33" customHeight="1"/>
    <row r="2" spans="2:4" ht="64.5" customHeight="1">
      <c r="B2" s="207" t="s">
        <v>122</v>
      </c>
      <c r="C2" s="207"/>
      <c r="D2" s="207"/>
    </row>
    <row r="3" ht="15.75" customHeight="1">
      <c r="D3" s="70"/>
    </row>
    <row r="4" spans="2:4" ht="18" customHeight="1">
      <c r="B4" s="232" t="s">
        <v>65</v>
      </c>
      <c r="C4" s="233"/>
      <c r="D4" s="71" t="s">
        <v>21</v>
      </c>
    </row>
    <row r="5" spans="2:4" ht="15.75">
      <c r="B5" s="241"/>
      <c r="C5" s="241"/>
      <c r="D5" s="73"/>
    </row>
    <row r="6" spans="2:4" ht="18.75" customHeight="1" thickBot="1">
      <c r="B6" s="74"/>
      <c r="C6" s="74"/>
      <c r="D6" s="57" t="s">
        <v>41</v>
      </c>
    </row>
    <row r="7" spans="2:4" ht="16.5" thickBot="1">
      <c r="B7" s="75" t="s">
        <v>25</v>
      </c>
      <c r="C7" s="76"/>
      <c r="D7" s="77" t="s">
        <v>98</v>
      </c>
    </row>
    <row r="8" spans="2:4" ht="16.5" thickBot="1">
      <c r="B8" s="236" t="s">
        <v>81</v>
      </c>
      <c r="C8" s="237"/>
      <c r="D8" s="1">
        <v>1275243</v>
      </c>
    </row>
    <row r="9" spans="2:4" ht="19.5" customHeight="1" thickBot="1">
      <c r="B9" s="230" t="s">
        <v>26</v>
      </c>
      <c r="C9" s="231"/>
      <c r="D9" s="78">
        <f>SUM(D8:D8)</f>
        <v>1275243</v>
      </c>
    </row>
    <row r="10" spans="2:4" ht="15.75">
      <c r="B10" s="79"/>
      <c r="C10" s="79"/>
      <c r="D10" s="80"/>
    </row>
    <row r="11" spans="2:4" ht="16.5" thickBot="1">
      <c r="B11" s="223" t="s">
        <v>55</v>
      </c>
      <c r="C11" s="223"/>
      <c r="D11" s="57" t="s">
        <v>41</v>
      </c>
    </row>
    <row r="12" spans="2:4" ht="15.75">
      <c r="B12" s="210" t="s">
        <v>20</v>
      </c>
      <c r="C12" s="225" t="s">
        <v>0</v>
      </c>
      <c r="D12" s="214" t="s">
        <v>98</v>
      </c>
    </row>
    <row r="13" spans="2:4" ht="15.75">
      <c r="B13" s="288"/>
      <c r="C13" s="287"/>
      <c r="D13" s="244"/>
    </row>
    <row r="14" spans="2:4" ht="18">
      <c r="B14" s="81">
        <v>42</v>
      </c>
      <c r="C14" s="82" t="s">
        <v>5</v>
      </c>
      <c r="D14" s="20">
        <f>D15+D17+D19</f>
        <v>105000</v>
      </c>
    </row>
    <row r="15" spans="2:4" ht="15.75">
      <c r="B15" s="83">
        <v>421</v>
      </c>
      <c r="C15" s="84" t="s">
        <v>29</v>
      </c>
      <c r="D15" s="23">
        <f>D16</f>
        <v>70000</v>
      </c>
    </row>
    <row r="16" spans="2:4" ht="15.75">
      <c r="B16" s="85">
        <v>4211</v>
      </c>
      <c r="C16" s="32" t="s">
        <v>6</v>
      </c>
      <c r="D16" s="33">
        <v>70000</v>
      </c>
    </row>
    <row r="17" spans="2:4" ht="31.5">
      <c r="B17" s="83">
        <v>422</v>
      </c>
      <c r="C17" s="84" t="s">
        <v>74</v>
      </c>
      <c r="D17" s="23">
        <f>SUM(D18)</f>
        <v>15000</v>
      </c>
    </row>
    <row r="18" spans="2:4" ht="15.75">
      <c r="B18" s="85">
        <v>4222</v>
      </c>
      <c r="C18" s="32" t="s">
        <v>30</v>
      </c>
      <c r="D18" s="94">
        <v>15000</v>
      </c>
    </row>
    <row r="19" spans="2:4" ht="15.75">
      <c r="B19" s="83">
        <v>425</v>
      </c>
      <c r="C19" s="84" t="s">
        <v>11</v>
      </c>
      <c r="D19" s="23">
        <f>D20+D21</f>
        <v>20000</v>
      </c>
    </row>
    <row r="20" spans="2:4" ht="15.75">
      <c r="B20" s="95">
        <v>4253</v>
      </c>
      <c r="C20" s="36" t="s">
        <v>18</v>
      </c>
      <c r="D20" s="33">
        <v>15000</v>
      </c>
    </row>
    <row r="21" spans="2:4" ht="15.75">
      <c r="B21" s="85">
        <v>4257</v>
      </c>
      <c r="C21" s="32" t="s">
        <v>16</v>
      </c>
      <c r="D21" s="33">
        <v>5000</v>
      </c>
    </row>
    <row r="22" spans="2:4" ht="18">
      <c r="B22" s="81">
        <v>45</v>
      </c>
      <c r="C22" s="82" t="s">
        <v>87</v>
      </c>
      <c r="D22" s="20">
        <f>D23</f>
        <v>1170243</v>
      </c>
    </row>
    <row r="23" spans="2:4" ht="15.75">
      <c r="B23" s="83">
        <v>451</v>
      </c>
      <c r="C23" s="84" t="s">
        <v>88</v>
      </c>
      <c r="D23" s="96">
        <f>D24</f>
        <v>1170243</v>
      </c>
    </row>
    <row r="24" spans="2:4" ht="16.5" thickBot="1">
      <c r="B24" s="85">
        <v>4511</v>
      </c>
      <c r="C24" s="86" t="s">
        <v>88</v>
      </c>
      <c r="D24" s="33">
        <v>1170243</v>
      </c>
    </row>
    <row r="25" spans="2:4" ht="19.5" customHeight="1" thickBot="1">
      <c r="B25" s="230" t="s">
        <v>27</v>
      </c>
      <c r="C25" s="231"/>
      <c r="D25" s="48">
        <f>D14+D22</f>
        <v>1275243</v>
      </c>
    </row>
    <row r="26" spans="2:4" ht="18.75" thickBot="1">
      <c r="B26" s="64"/>
      <c r="C26" s="65"/>
      <c r="D26" s="87"/>
    </row>
    <row r="27" spans="2:4" ht="39.75" customHeight="1" thickBot="1">
      <c r="B27" s="270" t="s">
        <v>113</v>
      </c>
      <c r="C27" s="271"/>
      <c r="D27" s="53">
        <f>104331+1814581-D25</f>
        <v>643669</v>
      </c>
    </row>
    <row r="29" spans="2:4" ht="18">
      <c r="B29" s="227" t="s">
        <v>146</v>
      </c>
      <c r="C29" s="227"/>
      <c r="D29" s="90"/>
    </row>
    <row r="30" spans="2:4" ht="30" customHeight="1">
      <c r="B30" s="91" t="s">
        <v>147</v>
      </c>
      <c r="C30" s="92"/>
      <c r="D30" s="93" t="s">
        <v>64</v>
      </c>
    </row>
    <row r="31" ht="15.75">
      <c r="B31" s="91" t="s">
        <v>148</v>
      </c>
    </row>
  </sheetData>
  <sheetProtection password="9BB3" sheet="1"/>
  <mergeCells count="12">
    <mergeCell ref="D12:D13"/>
    <mergeCell ref="B25:C25"/>
    <mergeCell ref="B29:C29"/>
    <mergeCell ref="B8:C8"/>
    <mergeCell ref="B9:C9"/>
    <mergeCell ref="B11:C11"/>
    <mergeCell ref="B2:D2"/>
    <mergeCell ref="B4:C4"/>
    <mergeCell ref="B5:C5"/>
    <mergeCell ref="B12:B13"/>
    <mergeCell ref="C12:C13"/>
    <mergeCell ref="B27:C27"/>
  </mergeCells>
  <printOptions/>
  <pageMargins left="0.5905511811023623" right="0.5905511811023623" top="1.31" bottom="0.6692913385826772" header="0.4724409448818898" footer="0.2755905511811024"/>
  <pageSetup horizontalDpi="600" verticalDpi="600" orientation="portrait" paperSize="9" scale="49" r:id="rId2"/>
  <headerFooter alignWithMargins="0">
    <oddHeader>&amp;L&amp;G
Hrvatska zaklada za znanost
Ilica 24, 10000 Zagreb&amp;R
</oddHeader>
    <oddFooter>&amp;CIlica 24, 10000 Zagreb / Vladimira Nazora 2, 51410 Opatija 
tel 051 228-690 faks 051 271-085 www.hrzz.hr MB 1626841 OIB 88776522763 IBAN HR3323600001101575620&amp;RFinancijski plan za 2021. godinu str. &amp;P od &amp;N</oddFooter>
  </headerFooter>
  <legacyDrawingHF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27"/>
  <sheetViews>
    <sheetView zoomScale="80" zoomScaleNormal="80" workbookViewId="0" topLeftCell="A1">
      <selection activeCell="A1" sqref="A1"/>
    </sheetView>
  </sheetViews>
  <sheetFormatPr defaultColWidth="9.140625" defaultRowHeight="12.75"/>
  <cols>
    <col min="1" max="1" width="24.7109375" style="99" customWidth="1"/>
    <col min="2" max="2" width="11.28125" style="99" customWidth="1"/>
    <col min="3" max="3" width="66.421875" style="99" customWidth="1"/>
    <col min="4" max="4" width="43.8515625" style="99" customWidth="1"/>
    <col min="5" max="5" width="24.7109375" style="99" customWidth="1"/>
    <col min="6" max="16384" width="9.140625" style="99" customWidth="1"/>
  </cols>
  <sheetData>
    <row r="1" spans="1:4" ht="33" customHeight="1">
      <c r="A1" s="97"/>
      <c r="B1" s="97"/>
      <c r="C1" s="97"/>
      <c r="D1" s="98"/>
    </row>
    <row r="2" spans="1:4" ht="84" customHeight="1">
      <c r="A2" s="97"/>
      <c r="B2" s="293" t="s">
        <v>121</v>
      </c>
      <c r="C2" s="293"/>
      <c r="D2" s="293"/>
    </row>
    <row r="3" spans="1:4" ht="15.75" customHeight="1">
      <c r="A3" s="97"/>
      <c r="B3" s="100"/>
      <c r="C3" s="100"/>
      <c r="D3" s="70"/>
    </row>
    <row r="4" spans="1:4" ht="18" customHeight="1">
      <c r="A4" s="101"/>
      <c r="B4" s="232" t="s">
        <v>65</v>
      </c>
      <c r="C4" s="233"/>
      <c r="D4" s="71" t="s">
        <v>21</v>
      </c>
    </row>
    <row r="5" spans="2:4" s="30" customFormat="1" ht="15.75">
      <c r="B5" s="241"/>
      <c r="C5" s="241"/>
      <c r="D5" s="73"/>
    </row>
    <row r="6" spans="2:4" s="30" customFormat="1" ht="16.5" customHeight="1" thickBot="1">
      <c r="B6" s="74"/>
      <c r="C6" s="74"/>
      <c r="D6" s="57" t="s">
        <v>41</v>
      </c>
    </row>
    <row r="7" spans="2:4" ht="15.75" customHeight="1" thickBot="1">
      <c r="B7" s="75" t="s">
        <v>25</v>
      </c>
      <c r="C7" s="76"/>
      <c r="D7" s="102" t="s">
        <v>98</v>
      </c>
    </row>
    <row r="8" spans="2:15" ht="17.25" customHeight="1" thickBot="1">
      <c r="B8" s="236" t="s">
        <v>100</v>
      </c>
      <c r="C8" s="237"/>
      <c r="D8" s="103">
        <v>45000</v>
      </c>
      <c r="E8" s="291"/>
      <c r="F8" s="292"/>
      <c r="G8" s="292"/>
      <c r="H8" s="292"/>
      <c r="I8" s="292"/>
      <c r="J8" s="292"/>
      <c r="K8" s="292"/>
      <c r="L8" s="292"/>
      <c r="M8" s="292"/>
      <c r="N8" s="292"/>
      <c r="O8" s="292"/>
    </row>
    <row r="9" spans="2:4" ht="19.5" customHeight="1" thickBot="1">
      <c r="B9" s="230" t="s">
        <v>26</v>
      </c>
      <c r="C9" s="231"/>
      <c r="D9" s="78">
        <f>SUM(D8)</f>
        <v>45000</v>
      </c>
    </row>
    <row r="10" spans="2:4" ht="15">
      <c r="B10" s="79"/>
      <c r="C10" s="79"/>
      <c r="D10" s="80"/>
    </row>
    <row r="11" spans="2:4" ht="15.75" customHeight="1" thickBot="1">
      <c r="B11" s="223" t="s">
        <v>55</v>
      </c>
      <c r="C11" s="223"/>
      <c r="D11" s="57" t="s">
        <v>41</v>
      </c>
    </row>
    <row r="12" spans="2:4" ht="12.75" customHeight="1">
      <c r="B12" s="245" t="s">
        <v>20</v>
      </c>
      <c r="C12" s="247" t="s">
        <v>0</v>
      </c>
      <c r="D12" s="214" t="s">
        <v>98</v>
      </c>
    </row>
    <row r="13" spans="2:4" ht="20.25" customHeight="1">
      <c r="B13" s="246"/>
      <c r="C13" s="248"/>
      <c r="D13" s="244"/>
    </row>
    <row r="14" spans="2:4" ht="18">
      <c r="B14" s="81">
        <v>42</v>
      </c>
      <c r="C14" s="82" t="s">
        <v>5</v>
      </c>
      <c r="D14" s="20">
        <f>D15+D17+D19</f>
        <v>45000</v>
      </c>
    </row>
    <row r="15" spans="2:4" ht="15.75">
      <c r="B15" s="44">
        <v>421</v>
      </c>
      <c r="C15" s="45" t="s">
        <v>29</v>
      </c>
      <c r="D15" s="23">
        <f>SUM(D16)</f>
        <v>15000</v>
      </c>
    </row>
    <row r="16" spans="2:5" ht="15" customHeight="1">
      <c r="B16" s="31">
        <v>4211</v>
      </c>
      <c r="C16" s="104" t="s">
        <v>6</v>
      </c>
      <c r="D16" s="94">
        <v>15000</v>
      </c>
      <c r="E16" s="105"/>
    </row>
    <row r="17" spans="2:5" ht="31.5">
      <c r="B17" s="83">
        <v>422</v>
      </c>
      <c r="C17" s="84" t="s">
        <v>74</v>
      </c>
      <c r="D17" s="23">
        <f>SUM(D18)</f>
        <v>15000</v>
      </c>
      <c r="E17" s="105"/>
    </row>
    <row r="18" spans="2:4" ht="15">
      <c r="B18" s="85">
        <v>4222</v>
      </c>
      <c r="C18" s="32" t="s">
        <v>30</v>
      </c>
      <c r="D18" s="94">
        <v>15000</v>
      </c>
    </row>
    <row r="19" spans="2:4" ht="15.75">
      <c r="B19" s="83">
        <v>424</v>
      </c>
      <c r="C19" s="84" t="s">
        <v>31</v>
      </c>
      <c r="D19" s="23">
        <f>SUM(D20:D20)</f>
        <v>15000</v>
      </c>
    </row>
    <row r="20" spans="2:4" ht="15.75" thickBot="1">
      <c r="B20" s="85">
        <v>4242</v>
      </c>
      <c r="C20" s="32" t="s">
        <v>30</v>
      </c>
      <c r="D20" s="33">
        <v>15000</v>
      </c>
    </row>
    <row r="21" spans="2:4" ht="19.5" customHeight="1" thickBot="1">
      <c r="B21" s="230" t="s">
        <v>27</v>
      </c>
      <c r="C21" s="231"/>
      <c r="D21" s="48">
        <f>D14</f>
        <v>45000</v>
      </c>
    </row>
    <row r="22" spans="2:4" ht="16.5" thickBot="1">
      <c r="B22" s="106"/>
      <c r="C22" s="106"/>
      <c r="D22" s="107"/>
    </row>
    <row r="23" spans="2:5" ht="39.75" customHeight="1" thickBot="1">
      <c r="B23" s="260" t="s">
        <v>112</v>
      </c>
      <c r="C23" s="261"/>
      <c r="D23" s="78">
        <f>54000-D21</f>
        <v>9000</v>
      </c>
      <c r="E23" s="105"/>
    </row>
    <row r="24" spans="2:4" ht="18">
      <c r="B24" s="108"/>
      <c r="C24" s="108"/>
      <c r="D24" s="89"/>
    </row>
    <row r="25" spans="2:4" ht="18">
      <c r="B25" s="227" t="s">
        <v>146</v>
      </c>
      <c r="C25" s="227"/>
      <c r="D25" s="90"/>
    </row>
    <row r="26" spans="2:4" ht="30" customHeight="1">
      <c r="B26" s="91" t="s">
        <v>147</v>
      </c>
      <c r="C26" s="92"/>
      <c r="D26" s="93" t="s">
        <v>64</v>
      </c>
    </row>
    <row r="27" spans="2:4" ht="15.75">
      <c r="B27" s="91" t="s">
        <v>148</v>
      </c>
      <c r="C27" s="30"/>
      <c r="D27" s="68"/>
    </row>
  </sheetData>
  <sheetProtection password="9BB3" sheet="1"/>
  <mergeCells count="13">
    <mergeCell ref="B23:C23"/>
    <mergeCell ref="B25:C25"/>
    <mergeCell ref="B9:C9"/>
    <mergeCell ref="B11:C11"/>
    <mergeCell ref="B12:B13"/>
    <mergeCell ref="C12:C13"/>
    <mergeCell ref="E8:O8"/>
    <mergeCell ref="D12:D13"/>
    <mergeCell ref="B21:C21"/>
    <mergeCell ref="B2:D2"/>
    <mergeCell ref="B4:C4"/>
    <mergeCell ref="B5:C5"/>
    <mergeCell ref="B8:C8"/>
  </mergeCells>
  <printOptions/>
  <pageMargins left="0.5905511811023623" right="0.5905511811023623" top="1.31" bottom="0.6692913385826772" header="0.4724409448818898" footer="0.2755905511811024"/>
  <pageSetup horizontalDpi="600" verticalDpi="600" orientation="portrait" paperSize="9" scale="49" r:id="rId2"/>
  <headerFooter alignWithMargins="0">
    <oddHeader>&amp;L&amp;G
Hrvatska zaklada za znanost
Ilica 24, 10000 Zagreb&amp;R
</oddHeader>
    <oddFooter>&amp;CIlica 24, 10000 Zagreb / Vladimira Nazora 2, 51410 Opatija 
tel 051 228-690 faks 051 271-085 www.hrzz.hr MB 1626841 OIB 88776522763 IBAN HR3323600001101575620&amp;RFinancijski plan za 2021. godinu str. &amp;P od &amp;N</oddFooter>
  </headerFooter>
  <legacyDrawingHF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23"/>
  <sheetViews>
    <sheetView zoomScale="80" zoomScaleNormal="80" workbookViewId="0" topLeftCell="A1">
      <selection activeCell="A1" sqref="A1"/>
    </sheetView>
  </sheetViews>
  <sheetFormatPr defaultColWidth="9.140625" defaultRowHeight="12.75"/>
  <cols>
    <col min="1" max="1" width="24.7109375" style="99" customWidth="1"/>
    <col min="2" max="2" width="11.28125" style="99" customWidth="1"/>
    <col min="3" max="3" width="66.421875" style="99" customWidth="1"/>
    <col min="4" max="4" width="43.8515625" style="99" customWidth="1"/>
    <col min="5" max="5" width="24.7109375" style="99" customWidth="1"/>
    <col min="6" max="16384" width="9.140625" style="99" customWidth="1"/>
  </cols>
  <sheetData>
    <row r="1" spans="1:4" ht="33" customHeight="1">
      <c r="A1" s="97"/>
      <c r="B1" s="97"/>
      <c r="C1" s="97"/>
      <c r="D1" s="98"/>
    </row>
    <row r="2" spans="1:4" ht="79.5" customHeight="1">
      <c r="A2" s="97"/>
      <c r="B2" s="293" t="s">
        <v>120</v>
      </c>
      <c r="C2" s="293"/>
      <c r="D2" s="293"/>
    </row>
    <row r="3" spans="1:4" ht="15.75" customHeight="1">
      <c r="A3" s="97"/>
      <c r="B3" s="100"/>
      <c r="C3" s="100"/>
      <c r="D3" s="70"/>
    </row>
    <row r="4" spans="1:4" ht="18" customHeight="1">
      <c r="A4" s="101"/>
      <c r="B4" s="232" t="s">
        <v>65</v>
      </c>
      <c r="C4" s="233"/>
      <c r="D4" s="71" t="s">
        <v>21</v>
      </c>
    </row>
    <row r="5" spans="1:4" ht="15.75">
      <c r="A5" s="101"/>
      <c r="B5" s="241"/>
      <c r="C5" s="241"/>
      <c r="D5" s="73"/>
    </row>
    <row r="6" spans="2:4" ht="16.5" thickBot="1">
      <c r="B6" s="74"/>
      <c r="C6" s="74"/>
      <c r="D6" s="57" t="s">
        <v>41</v>
      </c>
    </row>
    <row r="7" spans="2:4" ht="16.5" thickBot="1">
      <c r="B7" s="75" t="s">
        <v>25</v>
      </c>
      <c r="C7" s="76"/>
      <c r="D7" s="102" t="s">
        <v>98</v>
      </c>
    </row>
    <row r="8" spans="2:4" ht="15.75" thickBot="1">
      <c r="B8" s="236" t="s">
        <v>100</v>
      </c>
      <c r="C8" s="237"/>
      <c r="D8" s="103">
        <v>12155</v>
      </c>
    </row>
    <row r="9" spans="2:4" ht="19.5" customHeight="1" thickBot="1">
      <c r="B9" s="230" t="s">
        <v>26</v>
      </c>
      <c r="C9" s="231"/>
      <c r="D9" s="78">
        <f>D8</f>
        <v>12155</v>
      </c>
    </row>
    <row r="10" spans="2:4" ht="15">
      <c r="B10" s="79"/>
      <c r="C10" s="79"/>
      <c r="D10" s="80"/>
    </row>
    <row r="11" spans="2:4" ht="15.75" thickBot="1">
      <c r="B11" s="223" t="s">
        <v>55</v>
      </c>
      <c r="C11" s="223"/>
      <c r="D11" s="57" t="s">
        <v>41</v>
      </c>
    </row>
    <row r="12" spans="2:4" ht="12.75">
      <c r="B12" s="245" t="s">
        <v>20</v>
      </c>
      <c r="C12" s="247" t="s">
        <v>0</v>
      </c>
      <c r="D12" s="214" t="s">
        <v>98</v>
      </c>
    </row>
    <row r="13" spans="2:4" ht="20.25" customHeight="1">
      <c r="B13" s="246"/>
      <c r="C13" s="248"/>
      <c r="D13" s="244"/>
    </row>
    <row r="14" spans="2:4" ht="18">
      <c r="B14" s="81">
        <v>42</v>
      </c>
      <c r="C14" s="82" t="s">
        <v>5</v>
      </c>
      <c r="D14" s="20">
        <f>D15</f>
        <v>12155</v>
      </c>
    </row>
    <row r="15" spans="2:4" ht="15.75">
      <c r="B15" s="44">
        <v>421</v>
      </c>
      <c r="C15" s="45" t="s">
        <v>29</v>
      </c>
      <c r="D15" s="23">
        <f>SUM(D16)</f>
        <v>12155</v>
      </c>
    </row>
    <row r="16" spans="2:4" ht="15.75" thickBot="1">
      <c r="B16" s="31">
        <v>4211</v>
      </c>
      <c r="C16" s="104" t="s">
        <v>6</v>
      </c>
      <c r="D16" s="94">
        <v>12155</v>
      </c>
    </row>
    <row r="17" spans="2:4" ht="19.5" customHeight="1" thickBot="1">
      <c r="B17" s="230" t="s">
        <v>27</v>
      </c>
      <c r="C17" s="231"/>
      <c r="D17" s="48">
        <f>D14</f>
        <v>12155</v>
      </c>
    </row>
    <row r="18" spans="2:4" ht="16.5" thickBot="1">
      <c r="B18" s="106"/>
      <c r="C18" s="106"/>
      <c r="D18" s="107"/>
    </row>
    <row r="19" spans="2:4" ht="39.75" customHeight="1" thickBot="1">
      <c r="B19" s="260" t="s">
        <v>131</v>
      </c>
      <c r="C19" s="261"/>
      <c r="D19" s="78">
        <v>1500000</v>
      </c>
    </row>
    <row r="20" spans="2:4" ht="18">
      <c r="B20" s="108"/>
      <c r="C20" s="108"/>
      <c r="D20" s="89"/>
    </row>
    <row r="21" spans="2:4" ht="18">
      <c r="B21" s="227" t="s">
        <v>146</v>
      </c>
      <c r="C21" s="227"/>
      <c r="D21" s="90"/>
    </row>
    <row r="22" spans="2:4" ht="30" customHeight="1">
      <c r="B22" s="91" t="s">
        <v>147</v>
      </c>
      <c r="C22" s="92"/>
      <c r="D22" s="93" t="s">
        <v>64</v>
      </c>
    </row>
    <row r="23" spans="2:4" ht="15.75">
      <c r="B23" s="91" t="s">
        <v>148</v>
      </c>
      <c r="C23" s="30"/>
      <c r="D23" s="68"/>
    </row>
  </sheetData>
  <sheetProtection password="9BB3" sheet="1"/>
  <mergeCells count="12">
    <mergeCell ref="B19:C19"/>
    <mergeCell ref="B21:C21"/>
    <mergeCell ref="B9:C9"/>
    <mergeCell ref="B11:C11"/>
    <mergeCell ref="B12:B13"/>
    <mergeCell ref="C12:C13"/>
    <mergeCell ref="D12:D13"/>
    <mergeCell ref="B8:C8"/>
    <mergeCell ref="B2:D2"/>
    <mergeCell ref="B4:C4"/>
    <mergeCell ref="B5:C5"/>
    <mergeCell ref="B17:C17"/>
  </mergeCells>
  <printOptions/>
  <pageMargins left="0.5905511811023623" right="0.5905511811023623" top="1.31" bottom="0.6692913385826772" header="0.4724409448818898" footer="0.2755905511811024"/>
  <pageSetup horizontalDpi="600" verticalDpi="600" orientation="portrait" paperSize="9" scale="49" r:id="rId2"/>
  <headerFooter alignWithMargins="0">
    <oddHeader>&amp;L&amp;G
Hrvatska zaklada za znanost
Ilica 24, 10000 Zagreb&amp;R
</oddHeader>
    <oddFooter>&amp;CIlica 24, 10000 Zagreb / Vladimira Nazora 2, 51410 Opatija 
tel 051 228-690 faks 051 271-085 www.hrzz.hr MB 1626841 OIB 88776522763 IBAN HR3323600001101575620&amp;RFinancijski plan za 2021. godinu str. &amp;P od &amp;N</oddFooter>
  </headerFooter>
  <legacyDrawingHF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23"/>
  <sheetViews>
    <sheetView zoomScale="80" zoomScaleNormal="80" workbookViewId="0" topLeftCell="A1">
      <selection activeCell="A1" sqref="A1"/>
    </sheetView>
  </sheetViews>
  <sheetFormatPr defaultColWidth="9.140625" defaultRowHeight="12.75"/>
  <cols>
    <col min="1" max="1" width="24.7109375" style="99" customWidth="1"/>
    <col min="2" max="2" width="11.28125" style="99" customWidth="1"/>
    <col min="3" max="3" width="66.421875" style="99" customWidth="1"/>
    <col min="4" max="4" width="43.8515625" style="99" customWidth="1"/>
    <col min="5" max="5" width="24.7109375" style="99" customWidth="1"/>
    <col min="6" max="16384" width="9.140625" style="99" customWidth="1"/>
  </cols>
  <sheetData>
    <row r="1" spans="1:4" ht="33" customHeight="1">
      <c r="A1" s="97"/>
      <c r="B1" s="97"/>
      <c r="C1" s="97"/>
      <c r="D1" s="98"/>
    </row>
    <row r="2" spans="1:4" ht="79.5" customHeight="1">
      <c r="A2" s="97"/>
      <c r="B2" s="293" t="s">
        <v>119</v>
      </c>
      <c r="C2" s="293"/>
      <c r="D2" s="293"/>
    </row>
    <row r="3" spans="1:4" ht="15.75" customHeight="1">
      <c r="A3" s="97"/>
      <c r="B3" s="100"/>
      <c r="C3" s="100"/>
      <c r="D3" s="70"/>
    </row>
    <row r="4" spans="1:4" ht="18" customHeight="1">
      <c r="A4" s="101"/>
      <c r="B4" s="232" t="s">
        <v>65</v>
      </c>
      <c r="C4" s="233"/>
      <c r="D4" s="71" t="s">
        <v>21</v>
      </c>
    </row>
    <row r="5" spans="2:4" ht="15.75">
      <c r="B5" s="30"/>
      <c r="C5" s="30"/>
      <c r="D5" s="68"/>
    </row>
    <row r="6" spans="2:4" ht="19.5" thickBot="1">
      <c r="B6" s="295"/>
      <c r="C6" s="295"/>
      <c r="D6" s="57" t="s">
        <v>41</v>
      </c>
    </row>
    <row r="7" spans="2:4" ht="16.5" customHeight="1" thickBot="1">
      <c r="B7" s="75" t="s">
        <v>25</v>
      </c>
      <c r="C7" s="76"/>
      <c r="D7" s="102" t="s">
        <v>98</v>
      </c>
    </row>
    <row r="8" spans="2:4" ht="15.75" thickBot="1">
      <c r="B8" s="236" t="s">
        <v>100</v>
      </c>
      <c r="C8" s="237"/>
      <c r="D8" s="103">
        <v>25793</v>
      </c>
    </row>
    <row r="9" spans="2:4" ht="19.5" customHeight="1" thickBot="1">
      <c r="B9" s="230" t="s">
        <v>26</v>
      </c>
      <c r="C9" s="231"/>
      <c r="D9" s="78">
        <f>D8</f>
        <v>25793</v>
      </c>
    </row>
    <row r="10" spans="2:4" ht="15">
      <c r="B10" s="79"/>
      <c r="C10" s="79"/>
      <c r="D10" s="80"/>
    </row>
    <row r="11" spans="2:4" ht="15.75" thickBot="1">
      <c r="B11" s="223" t="s">
        <v>55</v>
      </c>
      <c r="C11" s="223"/>
      <c r="D11" s="57" t="s">
        <v>41</v>
      </c>
    </row>
    <row r="12" spans="2:4" ht="12.75">
      <c r="B12" s="245" t="s">
        <v>20</v>
      </c>
      <c r="C12" s="247" t="s">
        <v>0</v>
      </c>
      <c r="D12" s="214" t="s">
        <v>98</v>
      </c>
    </row>
    <row r="13" spans="2:4" ht="23.25" customHeight="1">
      <c r="B13" s="246"/>
      <c r="C13" s="248"/>
      <c r="D13" s="244"/>
    </row>
    <row r="14" spans="2:4" ht="18">
      <c r="B14" s="81">
        <v>42</v>
      </c>
      <c r="C14" s="82" t="s">
        <v>5</v>
      </c>
      <c r="D14" s="20">
        <f>D15+D17</f>
        <v>25793</v>
      </c>
    </row>
    <row r="15" spans="2:4" ht="15.75">
      <c r="B15" s="44">
        <v>421</v>
      </c>
      <c r="C15" s="45" t="s">
        <v>29</v>
      </c>
      <c r="D15" s="23">
        <f>SUM(D16)</f>
        <v>10000</v>
      </c>
    </row>
    <row r="16" spans="2:4" ht="15">
      <c r="B16" s="31">
        <v>4211</v>
      </c>
      <c r="C16" s="104" t="s">
        <v>6</v>
      </c>
      <c r="D16" s="33">
        <v>10000</v>
      </c>
    </row>
    <row r="17" spans="2:4" ht="31.5">
      <c r="B17" s="44">
        <v>422</v>
      </c>
      <c r="C17" s="45" t="s">
        <v>74</v>
      </c>
      <c r="D17" s="23">
        <f>D18</f>
        <v>15793</v>
      </c>
    </row>
    <row r="18" spans="2:4" ht="15.75" customHeight="1" thickBot="1">
      <c r="B18" s="31">
        <v>4222</v>
      </c>
      <c r="C18" s="104" t="s">
        <v>30</v>
      </c>
      <c r="D18" s="94">
        <v>15793</v>
      </c>
    </row>
    <row r="19" spans="2:4" ht="19.5" customHeight="1" thickBot="1">
      <c r="B19" s="230" t="s">
        <v>27</v>
      </c>
      <c r="C19" s="294"/>
      <c r="D19" s="48">
        <f>D14</f>
        <v>25793</v>
      </c>
    </row>
    <row r="20" spans="2:4" ht="15.75">
      <c r="B20" s="106"/>
      <c r="C20" s="106"/>
      <c r="D20" s="107"/>
    </row>
    <row r="21" spans="2:4" ht="18">
      <c r="B21" s="227" t="s">
        <v>146</v>
      </c>
      <c r="C21" s="227"/>
      <c r="D21" s="90"/>
    </row>
    <row r="22" spans="2:4" ht="30" customHeight="1">
      <c r="B22" s="91" t="s">
        <v>147</v>
      </c>
      <c r="C22" s="92"/>
      <c r="D22" s="93" t="s">
        <v>64</v>
      </c>
    </row>
    <row r="23" spans="2:4" ht="15.75">
      <c r="B23" s="91" t="s">
        <v>148</v>
      </c>
      <c r="C23" s="30"/>
      <c r="D23" s="68"/>
    </row>
  </sheetData>
  <sheetProtection password="9BB3" sheet="1"/>
  <mergeCells count="11">
    <mergeCell ref="B2:D2"/>
    <mergeCell ref="B4:C4"/>
    <mergeCell ref="B6:C6"/>
    <mergeCell ref="B8:C8"/>
    <mergeCell ref="B9:C9"/>
    <mergeCell ref="B11:C11"/>
    <mergeCell ref="B12:B13"/>
    <mergeCell ref="C12:C13"/>
    <mergeCell ref="B19:C19"/>
    <mergeCell ref="B21:C21"/>
    <mergeCell ref="D12:D13"/>
  </mergeCells>
  <printOptions/>
  <pageMargins left="0.5905511811023623" right="0.5905511811023623" top="1.31" bottom="0.6692913385826772" header="0.4724409448818898" footer="0.2755905511811024"/>
  <pageSetup horizontalDpi="600" verticalDpi="600" orientation="portrait" paperSize="9" scale="49" r:id="rId2"/>
  <headerFooter alignWithMargins="0">
    <oddHeader>&amp;L&amp;G
Hrvatska zaklada za znanost
Ilica 24, 10000 Zagreb&amp;R
</oddHeader>
    <oddFooter>&amp;CIlica 24, 10000 Zagreb / Vladimira Nazora 2, 51410 Opatija 
tel 051 228-690 faks 051 271-085 www.hrzz.hr MB 1626841 OIB 88776522763 IBAN HR3323600001101575620&amp;RFinancijski plan za 2021. godinu str. &amp;P od &amp;N</oddFooter>
  </headerFooter>
  <legacyDrawingHF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="80" zoomScaleNormal="80" workbookViewId="0" topLeftCell="A1">
      <selection activeCell="A1" sqref="A1"/>
    </sheetView>
  </sheetViews>
  <sheetFormatPr defaultColWidth="9.140625" defaultRowHeight="12.75"/>
  <cols>
    <col min="1" max="1" width="24.7109375" style="99" customWidth="1"/>
    <col min="2" max="2" width="11.28125" style="99" customWidth="1"/>
    <col min="3" max="3" width="66.421875" style="99" customWidth="1"/>
    <col min="4" max="4" width="43.8515625" style="99" customWidth="1"/>
    <col min="5" max="5" width="24.7109375" style="99" customWidth="1"/>
    <col min="6" max="16384" width="9.140625" style="99" customWidth="1"/>
  </cols>
  <sheetData>
    <row r="1" spans="1:4" ht="33" customHeight="1">
      <c r="A1" s="97"/>
      <c r="B1" s="97"/>
      <c r="C1" s="97"/>
      <c r="D1" s="98"/>
    </row>
    <row r="2" spans="1:4" ht="79.5" customHeight="1">
      <c r="A2" s="97"/>
      <c r="B2" s="293" t="s">
        <v>118</v>
      </c>
      <c r="C2" s="293"/>
      <c r="D2" s="293"/>
    </row>
    <row r="3" spans="1:4" ht="15.75" customHeight="1">
      <c r="A3" s="97"/>
      <c r="B3" s="100"/>
      <c r="C3" s="100"/>
      <c r="D3" s="70"/>
    </row>
    <row r="4" spans="1:4" ht="18" customHeight="1">
      <c r="A4" s="101"/>
      <c r="B4" s="232" t="s">
        <v>65</v>
      </c>
      <c r="C4" s="233"/>
      <c r="D4" s="71" t="s">
        <v>21</v>
      </c>
    </row>
    <row r="5" spans="1:4" ht="18" customHeight="1">
      <c r="A5" s="101"/>
      <c r="B5" s="115"/>
      <c r="C5" s="116"/>
      <c r="D5" s="71"/>
    </row>
    <row r="6" spans="1:4" ht="16.5" thickBot="1">
      <c r="A6" s="101"/>
      <c r="B6" s="241"/>
      <c r="C6" s="241"/>
      <c r="D6" s="57" t="s">
        <v>41</v>
      </c>
    </row>
    <row r="7" spans="2:4" s="30" customFormat="1" ht="16.5" customHeight="1" thickBot="1">
      <c r="B7" s="75" t="s">
        <v>25</v>
      </c>
      <c r="C7" s="76"/>
      <c r="D7" s="77" t="s">
        <v>98</v>
      </c>
    </row>
    <row r="8" spans="2:4" s="30" customFormat="1" ht="15.75" customHeight="1">
      <c r="B8" s="272" t="s">
        <v>90</v>
      </c>
      <c r="C8" s="273"/>
      <c r="D8" s="109">
        <v>750000</v>
      </c>
    </row>
    <row r="9" spans="2:4" s="30" customFormat="1" ht="15.75" customHeight="1" thickBot="1">
      <c r="B9" s="236" t="s">
        <v>100</v>
      </c>
      <c r="C9" s="237"/>
      <c r="D9" s="110">
        <v>7500</v>
      </c>
    </row>
    <row r="10" spans="2:4" s="30" customFormat="1" ht="19.5" customHeight="1" thickBot="1">
      <c r="B10" s="230" t="s">
        <v>26</v>
      </c>
      <c r="C10" s="231"/>
      <c r="D10" s="78">
        <f>SUM(D8:D9)</f>
        <v>757500</v>
      </c>
    </row>
    <row r="11" spans="2:4" ht="15">
      <c r="B11" s="79"/>
      <c r="C11" s="79"/>
      <c r="D11" s="80"/>
    </row>
    <row r="12" spans="2:4" ht="15.75" customHeight="1" thickBot="1">
      <c r="B12" s="223" t="s">
        <v>55</v>
      </c>
      <c r="C12" s="223"/>
      <c r="D12" s="57" t="s">
        <v>41</v>
      </c>
    </row>
    <row r="13" spans="2:4" ht="12.75" customHeight="1">
      <c r="B13" s="245" t="s">
        <v>20</v>
      </c>
      <c r="C13" s="247" t="s">
        <v>0</v>
      </c>
      <c r="D13" s="214" t="s">
        <v>98</v>
      </c>
    </row>
    <row r="14" spans="2:4" ht="20.25" customHeight="1">
      <c r="B14" s="246"/>
      <c r="C14" s="248"/>
      <c r="D14" s="244"/>
    </row>
    <row r="15" spans="2:4" ht="18">
      <c r="B15" s="81">
        <v>42</v>
      </c>
      <c r="C15" s="82" t="s">
        <v>5</v>
      </c>
      <c r="D15" s="20">
        <f>D16</f>
        <v>7500</v>
      </c>
    </row>
    <row r="16" spans="2:8" ht="15.75">
      <c r="B16" s="44">
        <v>421</v>
      </c>
      <c r="C16" s="45" t="s">
        <v>29</v>
      </c>
      <c r="D16" s="96">
        <f>SUM(D17)</f>
        <v>7500</v>
      </c>
      <c r="E16" s="111"/>
      <c r="F16" s="111"/>
      <c r="G16" s="111"/>
      <c r="H16" s="105"/>
    </row>
    <row r="17" spans="2:5" ht="15">
      <c r="B17" s="31">
        <v>4211</v>
      </c>
      <c r="C17" s="104" t="s">
        <v>6</v>
      </c>
      <c r="D17" s="94">
        <v>7500</v>
      </c>
      <c r="E17" s="105"/>
    </row>
    <row r="18" spans="2:5" ht="18">
      <c r="B18" s="112">
        <v>45</v>
      </c>
      <c r="C18" s="59" t="s">
        <v>87</v>
      </c>
      <c r="D18" s="113">
        <f>D20</f>
        <v>750000</v>
      </c>
      <c r="E18" s="111"/>
    </row>
    <row r="19" spans="2:5" ht="15.75">
      <c r="B19" s="44">
        <v>451</v>
      </c>
      <c r="C19" s="45" t="s">
        <v>88</v>
      </c>
      <c r="D19" s="96">
        <f>SUM(D20:D20)</f>
        <v>750000</v>
      </c>
      <c r="E19" s="111"/>
    </row>
    <row r="20" spans="2:5" ht="15.75" thickBot="1">
      <c r="B20" s="46">
        <v>4513</v>
      </c>
      <c r="C20" s="47" t="s">
        <v>89</v>
      </c>
      <c r="D20" s="62">
        <v>750000</v>
      </c>
      <c r="E20" s="111"/>
    </row>
    <row r="21" spans="2:4" ht="19.5" customHeight="1" thickBot="1">
      <c r="B21" s="230" t="s">
        <v>27</v>
      </c>
      <c r="C21" s="294"/>
      <c r="D21" s="48">
        <f>D15+D18</f>
        <v>757500</v>
      </c>
    </row>
    <row r="22" spans="2:4" ht="15.75">
      <c r="B22" s="106"/>
      <c r="C22" s="106"/>
      <c r="D22" s="107"/>
    </row>
    <row r="23" spans="2:4" ht="18">
      <c r="B23" s="227" t="s">
        <v>146</v>
      </c>
      <c r="C23" s="227"/>
      <c r="D23" s="114"/>
    </row>
    <row r="24" spans="2:4" ht="30" customHeight="1">
      <c r="B24" s="91" t="s">
        <v>147</v>
      </c>
      <c r="C24" s="92"/>
      <c r="D24" s="93" t="s">
        <v>64</v>
      </c>
    </row>
    <row r="25" spans="2:4" ht="15.75">
      <c r="B25" s="91" t="s">
        <v>148</v>
      </c>
      <c r="C25" s="30"/>
      <c r="D25" s="68"/>
    </row>
  </sheetData>
  <sheetProtection password="9BB3" sheet="1"/>
  <mergeCells count="12">
    <mergeCell ref="B21:C21"/>
    <mergeCell ref="B23:C23"/>
    <mergeCell ref="B8:C8"/>
    <mergeCell ref="B9:C9"/>
    <mergeCell ref="B10:C10"/>
    <mergeCell ref="B12:C12"/>
    <mergeCell ref="B13:B14"/>
    <mergeCell ref="C13:C14"/>
    <mergeCell ref="D13:D14"/>
    <mergeCell ref="B2:D2"/>
    <mergeCell ref="B4:C4"/>
    <mergeCell ref="B6:C6"/>
  </mergeCells>
  <printOptions/>
  <pageMargins left="0.5905511811023623" right="0.5905511811023623" top="1.31" bottom="0.6692913385826772" header="0.4724409448818898" footer="0.2755905511811024"/>
  <pageSetup horizontalDpi="600" verticalDpi="600" orientation="portrait" paperSize="9" scale="49" r:id="rId2"/>
  <headerFooter alignWithMargins="0">
    <oddHeader>&amp;L&amp;G
Hrvatska zaklada za znanost
Ilica 24, 10000 Zagreb&amp;R
</oddHeader>
    <oddFooter>&amp;CIlica 24, 10000 Zagreb / Vladimira Nazora 2, 51410 Opatija 
tel 051 228-690 faks 051 271-085 www.hrzz.hr MB 1626841 OIB 88776522763 IBAN HR3323600001101575620&amp;RFinancijski plan za 2021. godinu str. &amp;P od &amp;N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B2:M80"/>
  <sheetViews>
    <sheetView zoomScale="80" zoomScaleNormal="80" workbookViewId="0" topLeftCell="A1">
      <selection activeCell="A1" sqref="A1"/>
    </sheetView>
  </sheetViews>
  <sheetFormatPr defaultColWidth="9.140625" defaultRowHeight="12.75"/>
  <cols>
    <col min="1" max="1" width="24.7109375" style="30" customWidth="1"/>
    <col min="2" max="2" width="13.140625" style="30" customWidth="1"/>
    <col min="3" max="3" width="66.421875" style="30" customWidth="1"/>
    <col min="4" max="4" width="43.57421875" style="68" customWidth="1"/>
    <col min="5" max="5" width="24.7109375" style="30" customWidth="1"/>
    <col min="6" max="9" width="15.28125" style="30" customWidth="1"/>
    <col min="10" max="16384" width="9.140625" style="30" customWidth="1"/>
  </cols>
  <sheetData>
    <row r="1" ht="33" customHeight="1"/>
    <row r="2" spans="2:13" ht="79.5" customHeight="1">
      <c r="B2" s="207" t="s">
        <v>130</v>
      </c>
      <c r="C2" s="207"/>
      <c r="D2" s="207"/>
      <c r="E2" s="140"/>
      <c r="F2" s="69"/>
      <c r="G2" s="69"/>
      <c r="H2" s="69"/>
      <c r="I2" s="69"/>
      <c r="J2" s="69"/>
      <c r="K2" s="69"/>
      <c r="L2" s="69"/>
      <c r="M2" s="69"/>
    </row>
    <row r="3" spans="4:7" ht="15.75" customHeight="1">
      <c r="D3" s="141"/>
      <c r="E3" s="141"/>
      <c r="F3" s="141"/>
      <c r="G3" s="141"/>
    </row>
    <row r="4" spans="2:13" ht="18" customHeight="1">
      <c r="B4" s="232" t="s">
        <v>65</v>
      </c>
      <c r="C4" s="233"/>
      <c r="D4" s="71" t="s">
        <v>21</v>
      </c>
      <c r="E4" s="72"/>
      <c r="F4" s="72"/>
      <c r="G4" s="72"/>
      <c r="H4" s="72"/>
      <c r="I4" s="72"/>
      <c r="J4" s="72"/>
      <c r="K4" s="72"/>
      <c r="L4" s="72"/>
      <c r="M4" s="72"/>
    </row>
    <row r="5" spans="2:4" ht="15.75">
      <c r="B5" s="241"/>
      <c r="C5" s="241"/>
      <c r="D5" s="73"/>
    </row>
    <row r="6" spans="2:4" ht="16.5" customHeight="1" thickBot="1">
      <c r="B6" s="74"/>
      <c r="C6" s="74"/>
      <c r="D6" s="57" t="s">
        <v>41</v>
      </c>
    </row>
    <row r="7" spans="2:4" ht="24.75" customHeight="1" thickBot="1">
      <c r="B7" s="75" t="s">
        <v>25</v>
      </c>
      <c r="C7" s="76"/>
      <c r="D7" s="77" t="s">
        <v>98</v>
      </c>
    </row>
    <row r="8" spans="2:4" ht="15.75" customHeight="1">
      <c r="B8" s="234" t="s">
        <v>23</v>
      </c>
      <c r="C8" s="235"/>
      <c r="D8" s="170">
        <v>15000</v>
      </c>
    </row>
    <row r="9" spans="2:4" ht="15.75" customHeight="1">
      <c r="B9" s="236" t="s">
        <v>24</v>
      </c>
      <c r="C9" s="237"/>
      <c r="D9" s="1">
        <f>9698883+90675000+67285235+16868544+21176234+394196+8427220+1275243+45000+12155+25793+750000+7500</f>
        <v>216641003</v>
      </c>
    </row>
    <row r="10" spans="2:4" ht="15.75" customHeight="1" thickBot="1">
      <c r="B10" s="238" t="s">
        <v>19</v>
      </c>
      <c r="C10" s="239"/>
      <c r="D10" s="62">
        <f>13000+228564</f>
        <v>241564</v>
      </c>
    </row>
    <row r="11" spans="2:4" ht="19.5" customHeight="1" thickBot="1">
      <c r="B11" s="230" t="s">
        <v>26</v>
      </c>
      <c r="C11" s="231"/>
      <c r="D11" s="78">
        <f>SUM(D8:D10)</f>
        <v>216897567</v>
      </c>
    </row>
    <row r="12" spans="2:4" ht="36" customHeight="1" thickBot="1">
      <c r="B12" s="242" t="s">
        <v>116</v>
      </c>
      <c r="C12" s="243"/>
      <c r="D12" s="171">
        <v>44861009</v>
      </c>
    </row>
    <row r="13" spans="2:4" ht="30" customHeight="1" thickBot="1">
      <c r="B13" s="230" t="s">
        <v>84</v>
      </c>
      <c r="C13" s="231"/>
      <c r="D13" s="78">
        <f>D11+D12</f>
        <v>261758576</v>
      </c>
    </row>
    <row r="14" spans="2:5" ht="19.5" customHeight="1">
      <c r="B14" s="106"/>
      <c r="C14" s="106"/>
      <c r="D14" s="106"/>
      <c r="E14" s="107"/>
    </row>
    <row r="15" spans="2:9" ht="16.5" customHeight="1" thickBot="1">
      <c r="B15" s="223" t="s">
        <v>55</v>
      </c>
      <c r="C15" s="223"/>
      <c r="D15" s="57" t="s">
        <v>41</v>
      </c>
      <c r="E15" s="142"/>
      <c r="I15" s="143"/>
    </row>
    <row r="16" spans="2:4" s="144" customFormat="1" ht="20.25" customHeight="1">
      <c r="B16" s="245" t="s">
        <v>20</v>
      </c>
      <c r="C16" s="247" t="s">
        <v>0</v>
      </c>
      <c r="D16" s="214" t="s">
        <v>98</v>
      </c>
    </row>
    <row r="17" spans="2:4" s="144" customFormat="1" ht="27" customHeight="1">
      <c r="B17" s="246"/>
      <c r="C17" s="248"/>
      <c r="D17" s="244"/>
    </row>
    <row r="18" spans="2:4" s="145" customFormat="1" ht="19.5" customHeight="1">
      <c r="B18" s="112">
        <v>41</v>
      </c>
      <c r="C18" s="59" t="s">
        <v>60</v>
      </c>
      <c r="D18" s="113">
        <f>D19+D21+D23</f>
        <v>6042574</v>
      </c>
    </row>
    <row r="19" spans="2:4" s="145" customFormat="1" ht="21.75" customHeight="1">
      <c r="B19" s="44">
        <v>411</v>
      </c>
      <c r="C19" s="45" t="s">
        <v>1</v>
      </c>
      <c r="D19" s="96">
        <f>SUM(D20:D20)</f>
        <v>4999320</v>
      </c>
    </row>
    <row r="20" spans="2:4" ht="15.75" customHeight="1">
      <c r="B20" s="117">
        <v>4111</v>
      </c>
      <c r="C20" s="146" t="s">
        <v>2</v>
      </c>
      <c r="D20" s="26">
        <f>4240036+299410+275146+184728</f>
        <v>4999320</v>
      </c>
    </row>
    <row r="21" spans="2:4" s="145" customFormat="1" ht="21.75" customHeight="1">
      <c r="B21" s="44">
        <v>412</v>
      </c>
      <c r="C21" s="45" t="s">
        <v>61</v>
      </c>
      <c r="D21" s="96">
        <f>SUM(D22)</f>
        <v>261842</v>
      </c>
    </row>
    <row r="22" spans="2:4" ht="15.75" customHeight="1">
      <c r="B22" s="117">
        <v>4121</v>
      </c>
      <c r="C22" s="146" t="s">
        <v>61</v>
      </c>
      <c r="D22" s="26">
        <f>240842+9000+6000+6000</f>
        <v>261842</v>
      </c>
    </row>
    <row r="23" spans="2:4" s="145" customFormat="1" ht="21.75" customHeight="1">
      <c r="B23" s="44">
        <v>413</v>
      </c>
      <c r="C23" s="45" t="s">
        <v>3</v>
      </c>
      <c r="D23" s="96">
        <f>SUM(D24:D25)</f>
        <v>781412</v>
      </c>
    </row>
    <row r="24" spans="2:4" ht="15.75" customHeight="1">
      <c r="B24" s="117">
        <v>4131</v>
      </c>
      <c r="C24" s="146" t="s">
        <v>4</v>
      </c>
      <c r="D24" s="26">
        <f>645930+49403+45399+30480</f>
        <v>771212</v>
      </c>
    </row>
    <row r="25" spans="2:4" ht="15.75" customHeight="1">
      <c r="B25" s="117">
        <v>4134</v>
      </c>
      <c r="C25" s="146" t="s">
        <v>82</v>
      </c>
      <c r="D25" s="26">
        <v>10200</v>
      </c>
    </row>
    <row r="26" spans="2:4" s="145" customFormat="1" ht="21.75" customHeight="1">
      <c r="B26" s="112">
        <v>42</v>
      </c>
      <c r="C26" s="59" t="s">
        <v>5</v>
      </c>
      <c r="D26" s="113">
        <f>D27+D31+D35+D39+D48+D52</f>
        <v>4428274</v>
      </c>
    </row>
    <row r="27" spans="2:4" s="145" customFormat="1" ht="21.75" customHeight="1">
      <c r="B27" s="44">
        <v>421</v>
      </c>
      <c r="C27" s="45" t="s">
        <v>29</v>
      </c>
      <c r="D27" s="96">
        <f>SUM(D28:D30)</f>
        <v>720922</v>
      </c>
    </row>
    <row r="28" spans="2:4" ht="15" customHeight="1">
      <c r="B28" s="31">
        <v>4211</v>
      </c>
      <c r="C28" s="104" t="s">
        <v>6</v>
      </c>
      <c r="D28" s="94">
        <f>208000+4980+56800+70000+15000+12155+10000+7500</f>
        <v>384435</v>
      </c>
    </row>
    <row r="29" spans="2:4" ht="15.75" customHeight="1">
      <c r="B29" s="31">
        <v>4212</v>
      </c>
      <c r="C29" s="104" t="s">
        <v>7</v>
      </c>
      <c r="D29" s="33">
        <f>137867+8640+8640+5040</f>
        <v>160187</v>
      </c>
    </row>
    <row r="30" spans="2:4" ht="15.75" customHeight="1">
      <c r="B30" s="31">
        <v>4213</v>
      </c>
      <c r="C30" s="104" t="s">
        <v>59</v>
      </c>
      <c r="D30" s="33">
        <f>176300</f>
        <v>176300</v>
      </c>
    </row>
    <row r="31" spans="2:4" ht="30" customHeight="1">
      <c r="B31" s="44">
        <v>422</v>
      </c>
      <c r="C31" s="45" t="s">
        <v>74</v>
      </c>
      <c r="D31" s="96">
        <f>SUM(D32:D34)</f>
        <v>361223</v>
      </c>
    </row>
    <row r="32" spans="2:4" ht="30.75" customHeight="1">
      <c r="B32" s="31">
        <v>4221</v>
      </c>
      <c r="C32" s="104" t="s">
        <v>32</v>
      </c>
      <c r="D32" s="33">
        <f>135000+25840</f>
        <v>160840</v>
      </c>
    </row>
    <row r="33" spans="2:4" ht="15.75" customHeight="1">
      <c r="B33" s="31">
        <v>4222</v>
      </c>
      <c r="C33" s="104" t="s">
        <v>30</v>
      </c>
      <c r="D33" s="33">
        <f>93000+37590+15000+15000+15793</f>
        <v>176383</v>
      </c>
    </row>
    <row r="34" spans="2:4" ht="15.75" customHeight="1">
      <c r="B34" s="31">
        <v>4223</v>
      </c>
      <c r="C34" s="104" t="s">
        <v>75</v>
      </c>
      <c r="D34" s="33">
        <f>24000</f>
        <v>24000</v>
      </c>
    </row>
    <row r="35" spans="2:4" s="145" customFormat="1" ht="21.75" customHeight="1">
      <c r="B35" s="44">
        <v>424</v>
      </c>
      <c r="C35" s="45" t="s">
        <v>31</v>
      </c>
      <c r="D35" s="96">
        <f>SUM(D36:D38)</f>
        <v>647859</v>
      </c>
    </row>
    <row r="36" spans="2:4" ht="15.75" customHeight="1">
      <c r="B36" s="31">
        <v>4241</v>
      </c>
      <c r="C36" s="104" t="s">
        <v>32</v>
      </c>
      <c r="D36" s="33">
        <f>492604+9300+34955+2000</f>
        <v>538859</v>
      </c>
    </row>
    <row r="37" spans="2:4" ht="15.75" customHeight="1">
      <c r="B37" s="31">
        <v>4242</v>
      </c>
      <c r="C37" s="104" t="s">
        <v>30</v>
      </c>
      <c r="D37" s="94">
        <f>72500+19500+15000</f>
        <v>107000</v>
      </c>
    </row>
    <row r="38" spans="2:4" ht="15.75" customHeight="1">
      <c r="B38" s="31">
        <v>4243</v>
      </c>
      <c r="C38" s="104" t="s">
        <v>75</v>
      </c>
      <c r="D38" s="33">
        <f>2000</f>
        <v>2000</v>
      </c>
    </row>
    <row r="39" spans="2:4" s="145" customFormat="1" ht="21.75" customHeight="1">
      <c r="B39" s="44">
        <v>425</v>
      </c>
      <c r="C39" s="45" t="s">
        <v>11</v>
      </c>
      <c r="D39" s="96">
        <f>SUM(D40:D47)</f>
        <v>2365823</v>
      </c>
    </row>
    <row r="40" spans="2:4" ht="15.75" customHeight="1">
      <c r="B40" s="31">
        <v>4251</v>
      </c>
      <c r="C40" s="104" t="s">
        <v>12</v>
      </c>
      <c r="D40" s="33">
        <f>129765</f>
        <v>129765</v>
      </c>
    </row>
    <row r="41" spans="2:4" ht="15.75" customHeight="1">
      <c r="B41" s="31">
        <v>4252</v>
      </c>
      <c r="C41" s="104" t="s">
        <v>13</v>
      </c>
      <c r="D41" s="33">
        <f>49236</f>
        <v>49236</v>
      </c>
    </row>
    <row r="42" spans="2:4" ht="15.75" customHeight="1">
      <c r="B42" s="31">
        <v>4253</v>
      </c>
      <c r="C42" s="104" t="s">
        <v>18</v>
      </c>
      <c r="D42" s="33">
        <f>190929+50000+15000</f>
        <v>255929</v>
      </c>
    </row>
    <row r="43" spans="2:4" ht="15.75" customHeight="1">
      <c r="B43" s="31">
        <v>4254</v>
      </c>
      <c r="C43" s="104" t="s">
        <v>14</v>
      </c>
      <c r="D43" s="33">
        <f>23000</f>
        <v>23000</v>
      </c>
    </row>
    <row r="44" spans="2:4" ht="15.75" customHeight="1">
      <c r="B44" s="31">
        <v>4255</v>
      </c>
      <c r="C44" s="104" t="s">
        <v>15</v>
      </c>
      <c r="D44" s="33">
        <f>412552</f>
        <v>412552</v>
      </c>
    </row>
    <row r="45" spans="2:4" ht="15.75" customHeight="1">
      <c r="B45" s="31">
        <v>4257</v>
      </c>
      <c r="C45" s="104" t="s">
        <v>16</v>
      </c>
      <c r="D45" s="33">
        <f>212225+118250+5000</f>
        <v>335475</v>
      </c>
    </row>
    <row r="46" spans="2:4" ht="15.75" customHeight="1">
      <c r="B46" s="46">
        <v>4258</v>
      </c>
      <c r="C46" s="148" t="s">
        <v>33</v>
      </c>
      <c r="D46" s="41">
        <f>767152+30000+111750</f>
        <v>908902</v>
      </c>
    </row>
    <row r="47" spans="2:4" ht="15.75" customHeight="1">
      <c r="B47" s="31">
        <v>4259</v>
      </c>
      <c r="C47" s="104" t="s">
        <v>17</v>
      </c>
      <c r="D47" s="33">
        <f>250964</f>
        <v>250964</v>
      </c>
    </row>
    <row r="48" spans="2:4" s="145" customFormat="1" ht="21.75" customHeight="1">
      <c r="B48" s="44">
        <v>426</v>
      </c>
      <c r="C48" s="45" t="s">
        <v>8</v>
      </c>
      <c r="D48" s="96">
        <f>SUM(D49:D51)</f>
        <v>201047</v>
      </c>
    </row>
    <row r="49" spans="2:4" ht="15.75" customHeight="1">
      <c r="B49" s="46">
        <v>4261</v>
      </c>
      <c r="C49" s="148" t="s">
        <v>9</v>
      </c>
      <c r="D49" s="41">
        <f>126247</f>
        <v>126247</v>
      </c>
    </row>
    <row r="50" spans="2:4" ht="15.75" customHeight="1">
      <c r="B50" s="46">
        <v>4263</v>
      </c>
      <c r="C50" s="148" t="s">
        <v>10</v>
      </c>
      <c r="D50" s="41">
        <f>53000</f>
        <v>53000</v>
      </c>
    </row>
    <row r="51" spans="2:4" ht="15.75" customHeight="1">
      <c r="B51" s="31">
        <v>4264</v>
      </c>
      <c r="C51" s="104" t="s">
        <v>62</v>
      </c>
      <c r="D51" s="33">
        <f>21800</f>
        <v>21800</v>
      </c>
    </row>
    <row r="52" spans="2:4" s="145" customFormat="1" ht="21.75" customHeight="1">
      <c r="B52" s="149">
        <v>429</v>
      </c>
      <c r="C52" s="137" t="s">
        <v>76</v>
      </c>
      <c r="D52" s="165">
        <f>SUM(D53:D55)</f>
        <v>131400</v>
      </c>
    </row>
    <row r="53" spans="2:4" ht="15.75" customHeight="1">
      <c r="B53" s="46">
        <v>4292</v>
      </c>
      <c r="C53" s="148" t="s">
        <v>35</v>
      </c>
      <c r="D53" s="62">
        <f>90000</f>
        <v>90000</v>
      </c>
    </row>
    <row r="54" spans="2:4" ht="15.75" customHeight="1">
      <c r="B54" s="46">
        <v>4293</v>
      </c>
      <c r="C54" s="148" t="s">
        <v>36</v>
      </c>
      <c r="D54" s="41">
        <f>35400</f>
        <v>35400</v>
      </c>
    </row>
    <row r="55" spans="2:4" ht="15.75" customHeight="1">
      <c r="B55" s="31">
        <v>4295</v>
      </c>
      <c r="C55" s="104" t="s">
        <v>76</v>
      </c>
      <c r="D55" s="33">
        <f>6000</f>
        <v>6000</v>
      </c>
    </row>
    <row r="56" spans="2:4" ht="19.5" customHeight="1">
      <c r="B56" s="112">
        <v>43</v>
      </c>
      <c r="C56" s="59" t="s">
        <v>28</v>
      </c>
      <c r="D56" s="113">
        <f>D57</f>
        <v>310561</v>
      </c>
    </row>
    <row r="57" spans="2:4" ht="25.5" customHeight="1">
      <c r="B57" s="44">
        <v>431</v>
      </c>
      <c r="C57" s="45" t="s">
        <v>34</v>
      </c>
      <c r="D57" s="96">
        <f>SUM(D58)</f>
        <v>310561</v>
      </c>
    </row>
    <row r="58" spans="2:4" ht="15.75" customHeight="1">
      <c r="B58" s="46">
        <v>4311</v>
      </c>
      <c r="C58" s="47" t="s">
        <v>34</v>
      </c>
      <c r="D58" s="62">
        <f>285734+3381+15248+6198</f>
        <v>310561</v>
      </c>
    </row>
    <row r="59" spans="2:4" ht="19.5" customHeight="1">
      <c r="B59" s="42">
        <v>44</v>
      </c>
      <c r="C59" s="151" t="s">
        <v>37</v>
      </c>
      <c r="D59" s="174">
        <f>D60</f>
        <v>29100</v>
      </c>
    </row>
    <row r="60" spans="2:4" ht="25.5" customHeight="1">
      <c r="B60" s="44">
        <v>443</v>
      </c>
      <c r="C60" s="45" t="s">
        <v>79</v>
      </c>
      <c r="D60" s="96">
        <f>SUM(D61:D63)</f>
        <v>29100</v>
      </c>
    </row>
    <row r="61" spans="2:4" ht="15.75" customHeight="1">
      <c r="B61" s="46">
        <v>4431</v>
      </c>
      <c r="C61" s="47" t="s">
        <v>63</v>
      </c>
      <c r="D61" s="62">
        <f>26000</f>
        <v>26000</v>
      </c>
    </row>
    <row r="62" spans="2:4" ht="15.75" customHeight="1">
      <c r="B62" s="46">
        <v>4432</v>
      </c>
      <c r="C62" s="47" t="s">
        <v>38</v>
      </c>
      <c r="D62" s="62">
        <f>3000</f>
        <v>3000</v>
      </c>
    </row>
    <row r="63" spans="2:4" ht="15.75" customHeight="1">
      <c r="B63" s="46">
        <v>4433</v>
      </c>
      <c r="C63" s="47" t="s">
        <v>57</v>
      </c>
      <c r="D63" s="62">
        <v>100</v>
      </c>
    </row>
    <row r="64" spans="2:4" ht="19.5" customHeight="1">
      <c r="B64" s="112">
        <v>45</v>
      </c>
      <c r="C64" s="59" t="s">
        <v>87</v>
      </c>
      <c r="D64" s="113">
        <f>D65</f>
        <v>275562041</v>
      </c>
    </row>
    <row r="65" spans="2:4" ht="25.5" customHeight="1">
      <c r="B65" s="44">
        <v>451</v>
      </c>
      <c r="C65" s="45" t="s">
        <v>88</v>
      </c>
      <c r="D65" s="96">
        <f>SUM(D66:D67)</f>
        <v>275562041</v>
      </c>
    </row>
    <row r="66" spans="2:4" ht="15.75" customHeight="1">
      <c r="B66" s="46">
        <v>4511</v>
      </c>
      <c r="C66" s="47" t="s">
        <v>88</v>
      </c>
      <c r="D66" s="62">
        <f>160945575+67285235+8287470+1170243</f>
        <v>237688523</v>
      </c>
    </row>
    <row r="67" spans="2:4" ht="15.75" customHeight="1">
      <c r="B67" s="46">
        <v>4513</v>
      </c>
      <c r="C67" s="47" t="s">
        <v>89</v>
      </c>
      <c r="D67" s="62">
        <f>16421000+20702518+750000</f>
        <v>37873518</v>
      </c>
    </row>
    <row r="68" spans="2:4" ht="19.5" customHeight="1">
      <c r="B68" s="42">
        <v>46</v>
      </c>
      <c r="C68" s="43" t="s">
        <v>39</v>
      </c>
      <c r="D68" s="113">
        <f>D69</f>
        <v>12128</v>
      </c>
    </row>
    <row r="69" spans="2:4" ht="25.5" customHeight="1">
      <c r="B69" s="44">
        <v>462</v>
      </c>
      <c r="C69" s="45" t="s">
        <v>80</v>
      </c>
      <c r="D69" s="96">
        <f>SUM(D70:D72)</f>
        <v>12128</v>
      </c>
    </row>
    <row r="70" spans="2:4" ht="30" customHeight="1">
      <c r="B70" s="46">
        <v>4621</v>
      </c>
      <c r="C70" s="47" t="s">
        <v>58</v>
      </c>
      <c r="D70" s="62">
        <f>10000+1528</f>
        <v>11528</v>
      </c>
    </row>
    <row r="71" spans="2:4" ht="15.75" customHeight="1">
      <c r="B71" s="31">
        <v>4622</v>
      </c>
      <c r="C71" s="153" t="s">
        <v>77</v>
      </c>
      <c r="D71" s="94">
        <v>50</v>
      </c>
    </row>
    <row r="72" spans="2:4" ht="15.75" customHeight="1" thickBot="1">
      <c r="B72" s="31">
        <v>4624</v>
      </c>
      <c r="C72" s="153" t="s">
        <v>80</v>
      </c>
      <c r="D72" s="94">
        <v>550</v>
      </c>
    </row>
    <row r="73" spans="2:4" ht="19.5" customHeight="1" thickBot="1">
      <c r="B73" s="230" t="s">
        <v>27</v>
      </c>
      <c r="C73" s="231"/>
      <c r="D73" s="63">
        <f>D18+D26+D56+D59+D64+D68</f>
        <v>286384678</v>
      </c>
    </row>
    <row r="74" spans="2:4" ht="14.25" customHeight="1" thickBot="1">
      <c r="B74" s="64"/>
      <c r="C74" s="65"/>
      <c r="D74" s="90"/>
    </row>
    <row r="75" spans="2:4" s="2" customFormat="1" ht="45.75" customHeight="1" thickBot="1">
      <c r="B75" s="249" t="s">
        <v>138</v>
      </c>
      <c r="C75" s="250"/>
      <c r="D75" s="15">
        <f>D13-D73</f>
        <v>-24626102</v>
      </c>
    </row>
    <row r="76" spans="2:4" s="2" customFormat="1" ht="15.75" customHeight="1">
      <c r="B76" s="173"/>
      <c r="C76" s="173"/>
      <c r="D76" s="123"/>
    </row>
    <row r="77" spans="2:4" ht="18">
      <c r="B77" s="227" t="s">
        <v>146</v>
      </c>
      <c r="C77" s="227"/>
      <c r="D77" s="90"/>
    </row>
    <row r="78" spans="2:4" ht="30" customHeight="1">
      <c r="B78" s="91" t="s">
        <v>147</v>
      </c>
      <c r="C78" s="92"/>
      <c r="D78" s="93" t="s">
        <v>64</v>
      </c>
    </row>
    <row r="79" ht="15.75">
      <c r="B79" s="91" t="s">
        <v>148</v>
      </c>
    </row>
    <row r="80" spans="4:6" s="157" customFormat="1" ht="15">
      <c r="D80" s="158"/>
      <c r="E80" s="240"/>
      <c r="F80" s="240"/>
    </row>
  </sheetData>
  <sheetProtection password="9BB3" sheet="1"/>
  <mergeCells count="17">
    <mergeCell ref="E80:F80"/>
    <mergeCell ref="B5:C5"/>
    <mergeCell ref="B15:C15"/>
    <mergeCell ref="B73:C73"/>
    <mergeCell ref="B12:C12"/>
    <mergeCell ref="D16:D17"/>
    <mergeCell ref="B16:B17"/>
    <mergeCell ref="C16:C17"/>
    <mergeCell ref="B77:C77"/>
    <mergeCell ref="B75:C75"/>
    <mergeCell ref="B13:C13"/>
    <mergeCell ref="B4:C4"/>
    <mergeCell ref="B2:D2"/>
    <mergeCell ref="B8:C8"/>
    <mergeCell ref="B9:C9"/>
    <mergeCell ref="B10:C10"/>
    <mergeCell ref="B11:C11"/>
  </mergeCells>
  <printOptions horizontalCentered="1"/>
  <pageMargins left="0.5905511811023623" right="0.5905511811023623" top="1.31" bottom="0.6692913385826772" header="0.4724409448818898" footer="0.2755905511811024"/>
  <pageSetup horizontalDpi="600" verticalDpi="600" orientation="portrait" paperSize="9" scale="49" r:id="rId2"/>
  <headerFooter alignWithMargins="0">
    <oddHeader>&amp;L&amp;G
Hrvatska zaklada za znanost
Ilica 24, 10000 Zagreb&amp;R
</oddHeader>
    <oddFooter>&amp;CIlica 24, 10000 Zagreb / Vladimira Nazora 2, 51410 Opatija 
tel 051 228-690 faks 051 271-085 www.hrzz.hr MB 1626841 OIB 88776522763 IBAN HR3323600001101575620&amp;RFinancijski plan za 2021. godinu str. &amp;P od &amp;N</oddFooter>
  </headerFooter>
  <rowBreaks count="1" manualBreakCount="1">
    <brk id="47" max="4" man="1"/>
  </rowBreaks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2:F22"/>
  <sheetViews>
    <sheetView zoomScale="80" zoomScaleNormal="80" workbookViewId="0" topLeftCell="A1">
      <selection activeCell="A1" sqref="A1"/>
    </sheetView>
  </sheetViews>
  <sheetFormatPr defaultColWidth="9.140625" defaultRowHeight="12.75"/>
  <cols>
    <col min="1" max="1" width="24.7109375" style="99" customWidth="1"/>
    <col min="2" max="2" width="11.28125" style="99" customWidth="1"/>
    <col min="3" max="3" width="48.57421875" style="99" customWidth="1"/>
    <col min="4" max="4" width="37.7109375" style="99" customWidth="1"/>
    <col min="5" max="5" width="24.7109375" style="99" customWidth="1"/>
    <col min="6" max="16384" width="9.140625" style="99" customWidth="1"/>
  </cols>
  <sheetData>
    <row r="1" ht="33" customHeight="1"/>
    <row r="2" spans="2:5" s="131" customFormat="1" ht="79.5" customHeight="1">
      <c r="B2" s="253" t="s">
        <v>129</v>
      </c>
      <c r="C2" s="253"/>
      <c r="D2" s="253"/>
      <c r="E2" s="133"/>
    </row>
    <row r="3" spans="2:5" s="131" customFormat="1" ht="15.75" customHeight="1">
      <c r="B3" s="132"/>
      <c r="C3" s="132"/>
      <c r="D3" s="132"/>
      <c r="E3" s="133"/>
    </row>
    <row r="4" spans="1:4" ht="18" customHeight="1">
      <c r="A4" s="101"/>
      <c r="B4" s="232" t="s">
        <v>65</v>
      </c>
      <c r="C4" s="233"/>
      <c r="D4" s="71" t="s">
        <v>21</v>
      </c>
    </row>
    <row r="5" spans="2:5" s="131" customFormat="1" ht="15.75" customHeight="1">
      <c r="B5" s="133"/>
      <c r="C5" s="133"/>
      <c r="D5" s="133"/>
      <c r="E5" s="133"/>
    </row>
    <row r="6" spans="2:4" s="91" customFormat="1" ht="16.5" customHeight="1" thickBot="1">
      <c r="B6" s="160"/>
      <c r="D6" s="161" t="s">
        <v>41</v>
      </c>
    </row>
    <row r="7" spans="2:6" s="30" customFormat="1" ht="19.5" customHeight="1">
      <c r="B7" s="245" t="s">
        <v>53</v>
      </c>
      <c r="C7" s="247" t="s">
        <v>0</v>
      </c>
      <c r="D7" s="214" t="s">
        <v>98</v>
      </c>
      <c r="E7" s="162"/>
      <c r="F7" s="163"/>
    </row>
    <row r="8" spans="2:6" s="30" customFormat="1" ht="19.5" customHeight="1" thickBot="1">
      <c r="B8" s="251"/>
      <c r="C8" s="252"/>
      <c r="D8" s="215"/>
      <c r="E8" s="162"/>
      <c r="F8" s="163"/>
    </row>
    <row r="9" spans="2:6" s="30" customFormat="1" ht="24.75" customHeight="1">
      <c r="B9" s="164" t="s">
        <v>44</v>
      </c>
      <c r="C9" s="137" t="s">
        <v>42</v>
      </c>
      <c r="D9" s="165">
        <f>SUM(D10)</f>
        <v>90000</v>
      </c>
      <c r="E9" s="162"/>
      <c r="F9" s="163"/>
    </row>
    <row r="10" spans="2:6" s="30" customFormat="1" ht="19.5" customHeight="1">
      <c r="B10" s="122" t="s">
        <v>45</v>
      </c>
      <c r="C10" s="45" t="s">
        <v>43</v>
      </c>
      <c r="D10" s="96">
        <f>SUM(D11:D11)</f>
        <v>90000</v>
      </c>
      <c r="E10" s="162"/>
      <c r="F10" s="163"/>
    </row>
    <row r="11" spans="2:6" s="30" customFormat="1" ht="30" customHeight="1">
      <c r="B11" s="138" t="s">
        <v>56</v>
      </c>
      <c r="C11" s="104" t="s">
        <v>85</v>
      </c>
      <c r="D11" s="94">
        <v>90000</v>
      </c>
      <c r="E11" s="162"/>
      <c r="F11" s="163"/>
    </row>
    <row r="12" spans="2:6" s="30" customFormat="1" ht="24.75" customHeight="1">
      <c r="B12" s="122" t="s">
        <v>46</v>
      </c>
      <c r="C12" s="45" t="s">
        <v>47</v>
      </c>
      <c r="D12" s="96">
        <f>SUM(D13+D15)</f>
        <v>237345</v>
      </c>
      <c r="E12" s="162"/>
      <c r="F12" s="163"/>
    </row>
    <row r="13" spans="2:6" s="30" customFormat="1" ht="19.5" customHeight="1">
      <c r="B13" s="122" t="s">
        <v>48</v>
      </c>
      <c r="C13" s="45" t="s">
        <v>49</v>
      </c>
      <c r="D13" s="96">
        <f>SUM(D14:D14)</f>
        <v>227970</v>
      </c>
      <c r="E13" s="162"/>
      <c r="F13" s="163"/>
    </row>
    <row r="14" spans="2:6" s="30" customFormat="1" ht="19.5" customHeight="1">
      <c r="B14" s="61" t="s">
        <v>40</v>
      </c>
      <c r="C14" s="47" t="s">
        <v>52</v>
      </c>
      <c r="D14" s="62">
        <f>165470+20000+42500</f>
        <v>227970</v>
      </c>
      <c r="E14" s="162"/>
      <c r="F14" s="163"/>
    </row>
    <row r="15" spans="2:6" s="30" customFormat="1" ht="19.5" customHeight="1">
      <c r="B15" s="122" t="s">
        <v>50</v>
      </c>
      <c r="C15" s="45" t="s">
        <v>51</v>
      </c>
      <c r="D15" s="139">
        <f>SUM(D16:D16)</f>
        <v>9375</v>
      </c>
      <c r="E15" s="162"/>
      <c r="F15" s="163"/>
    </row>
    <row r="16" spans="2:6" s="30" customFormat="1" ht="32.25" customHeight="1" thickBot="1">
      <c r="B16" s="61" t="s">
        <v>133</v>
      </c>
      <c r="C16" s="47" t="s">
        <v>132</v>
      </c>
      <c r="D16" s="62">
        <v>9375</v>
      </c>
      <c r="E16" s="162"/>
      <c r="F16" s="163"/>
    </row>
    <row r="17" spans="2:6" s="30" customFormat="1" ht="30" customHeight="1" thickBot="1">
      <c r="B17" s="230" t="s">
        <v>54</v>
      </c>
      <c r="C17" s="231"/>
      <c r="D17" s="63">
        <f>D9+D12</f>
        <v>327345</v>
      </c>
      <c r="E17" s="162"/>
      <c r="F17" s="163"/>
    </row>
    <row r="18" spans="2:6" s="91" customFormat="1" ht="15.75">
      <c r="B18" s="166"/>
      <c r="C18" s="166"/>
      <c r="D18" s="166"/>
      <c r="E18" s="134"/>
      <c r="F18" s="101"/>
    </row>
    <row r="19" spans="2:4" s="30" customFormat="1" ht="18">
      <c r="B19" s="227" t="s">
        <v>146</v>
      </c>
      <c r="C19" s="227"/>
      <c r="D19" s="90"/>
    </row>
    <row r="20" spans="2:4" s="30" customFormat="1" ht="30" customHeight="1">
      <c r="B20" s="91" t="s">
        <v>147</v>
      </c>
      <c r="C20" s="92"/>
      <c r="D20" s="93" t="s">
        <v>64</v>
      </c>
    </row>
    <row r="21" spans="2:4" s="30" customFormat="1" ht="15.75">
      <c r="B21" s="91" t="s">
        <v>148</v>
      </c>
      <c r="D21" s="68"/>
    </row>
    <row r="22" spans="2:4" ht="12.75">
      <c r="B22" s="105"/>
      <c r="C22" s="105"/>
      <c r="D22" s="136"/>
    </row>
  </sheetData>
  <sheetProtection password="9BB3" sheet="1"/>
  <mergeCells count="7">
    <mergeCell ref="B17:C17"/>
    <mergeCell ref="B7:B8"/>
    <mergeCell ref="C7:C8"/>
    <mergeCell ref="D7:D8"/>
    <mergeCell ref="B2:D2"/>
    <mergeCell ref="B19:C19"/>
    <mergeCell ref="B4:C4"/>
  </mergeCells>
  <printOptions horizontalCentered="1"/>
  <pageMargins left="0.5905511811023623" right="0.5905511811023623" top="1.31" bottom="0.6692913385826772" header="0.4724409448818898" footer="0.2755905511811024"/>
  <pageSetup horizontalDpi="600" verticalDpi="600" orientation="portrait" paperSize="9" scale="49" r:id="rId2"/>
  <headerFooter alignWithMargins="0">
    <oddHeader>&amp;L&amp;G
Hrvatska zaklada za znanost
Ilica 24, 10000 Zagreb&amp;R
</oddHeader>
    <oddFooter>&amp;CIlica 24, 10000 Zagreb / Vladimira Nazora 2, 51410 Opatija 
tel 051 228-690 faks 051 271-085 www.hrzz.hr MB 1626841 OIB 88776522763 IBAN HR3323600001101575620&amp;RFinancijski plan za 2021. godinu str. &amp;P od &amp;N</oddFooter>
  </headerFooter>
  <ignoredErrors>
    <ignoredError sqref="B9:B14 B15" numberStoredAsText="1"/>
    <ignoredError sqref="D14" formula="1"/>
  </ignoredErrors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B2:F10"/>
  <sheetViews>
    <sheetView zoomScale="80" zoomScaleNormal="80" workbookViewId="0" topLeftCell="A1">
      <selection activeCell="A1" sqref="A1"/>
    </sheetView>
  </sheetViews>
  <sheetFormatPr defaultColWidth="9.140625" defaultRowHeight="12.75"/>
  <cols>
    <col min="1" max="1" width="35.7109375" style="99" customWidth="1"/>
    <col min="2" max="2" width="11.28125" style="99" customWidth="1"/>
    <col min="3" max="3" width="48.57421875" style="99" customWidth="1"/>
    <col min="4" max="4" width="32.57421875" style="99" customWidth="1"/>
    <col min="5" max="5" width="24.7109375" style="99" customWidth="1"/>
    <col min="6" max="16384" width="9.140625" style="99" customWidth="1"/>
  </cols>
  <sheetData>
    <row r="1" ht="36" customHeight="1"/>
    <row r="2" spans="2:5" s="131" customFormat="1" ht="54.75" customHeight="1">
      <c r="B2" s="253" t="s">
        <v>108</v>
      </c>
      <c r="C2" s="253"/>
      <c r="D2" s="253"/>
      <c r="E2" s="133"/>
    </row>
    <row r="3" spans="2:5" s="131" customFormat="1" ht="135" customHeight="1">
      <c r="B3" s="254" t="s">
        <v>109</v>
      </c>
      <c r="C3" s="254"/>
      <c r="D3" s="254"/>
      <c r="E3" s="133"/>
    </row>
    <row r="4" spans="2:5" s="131" customFormat="1" ht="40.5" customHeight="1">
      <c r="B4" s="254" t="s">
        <v>110</v>
      </c>
      <c r="C4" s="254"/>
      <c r="D4" s="254"/>
      <c r="E4" s="133"/>
    </row>
    <row r="5" spans="2:6" s="91" customFormat="1" ht="24" customHeight="1">
      <c r="B5" s="255" t="s">
        <v>111</v>
      </c>
      <c r="C5" s="255"/>
      <c r="D5" s="255"/>
      <c r="E5" s="134"/>
      <c r="F5" s="101"/>
    </row>
    <row r="6" spans="2:6" s="91" customFormat="1" ht="18">
      <c r="B6" s="135"/>
      <c r="C6" s="135"/>
      <c r="D6" s="135"/>
      <c r="E6" s="134"/>
      <c r="F6" s="101"/>
    </row>
    <row r="7" spans="2:4" s="30" customFormat="1" ht="18">
      <c r="B7" s="227" t="s">
        <v>146</v>
      </c>
      <c r="C7" s="227"/>
      <c r="D7" s="90"/>
    </row>
    <row r="8" spans="2:4" s="30" customFormat="1" ht="30" customHeight="1">
      <c r="B8" s="91" t="s">
        <v>147</v>
      </c>
      <c r="C8" s="92"/>
      <c r="D8" s="93" t="s">
        <v>64</v>
      </c>
    </row>
    <row r="9" spans="2:4" s="30" customFormat="1" ht="15.75">
      <c r="B9" s="91" t="s">
        <v>148</v>
      </c>
      <c r="D9" s="68"/>
    </row>
    <row r="10" spans="2:4" ht="12.75">
      <c r="B10" s="105"/>
      <c r="C10" s="105"/>
      <c r="D10" s="136"/>
    </row>
  </sheetData>
  <sheetProtection password="9BB3" sheet="1"/>
  <mergeCells count="5">
    <mergeCell ref="B2:D2"/>
    <mergeCell ref="B7:C7"/>
    <mergeCell ref="B3:D3"/>
    <mergeCell ref="B5:D5"/>
    <mergeCell ref="B4:D4"/>
  </mergeCells>
  <printOptions/>
  <pageMargins left="0.5905511811023623" right="0.5905511811023623" top="1.31" bottom="0.6692913385826772" header="0.4724409448818898" footer="0.2755905511811024"/>
  <pageSetup horizontalDpi="600" verticalDpi="600" orientation="portrait" paperSize="9" scale="49" r:id="rId2"/>
  <headerFooter alignWithMargins="0">
    <oddHeader>&amp;L&amp;G
Hrvatska zaklada za znanost
Ilica 24, 10000 Zagreb&amp;R
</oddHeader>
    <oddFooter>&amp;CIlica 24, 10000 Zagreb / Vladimira Nazora 2, 51410 Opatija 
tel 051 228-690 faks 051 271-085 www.hrzz.hr MB 1626841 OIB 88776522763 IBAN HR3323600001101575620&amp;RFinancijski plan za 2021. godinu str. &amp;P od &amp;N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M88"/>
  <sheetViews>
    <sheetView zoomScale="80" zoomScaleNormal="80" workbookViewId="0" topLeftCell="A1">
      <selection activeCell="A1" sqref="A1"/>
    </sheetView>
  </sheetViews>
  <sheetFormatPr defaultColWidth="9.140625" defaultRowHeight="12.75"/>
  <cols>
    <col min="1" max="1" width="24.7109375" style="30" customWidth="1"/>
    <col min="2" max="2" width="13.140625" style="30" customWidth="1"/>
    <col min="3" max="3" width="66.421875" style="30" customWidth="1"/>
    <col min="4" max="4" width="43.57421875" style="68" customWidth="1"/>
    <col min="5" max="5" width="24.7109375" style="30" customWidth="1"/>
    <col min="6" max="9" width="15.28125" style="30" customWidth="1"/>
    <col min="10" max="16384" width="9.140625" style="30" customWidth="1"/>
  </cols>
  <sheetData>
    <row r="1" ht="33" customHeight="1"/>
    <row r="2" spans="2:13" ht="79.5" customHeight="1">
      <c r="B2" s="207" t="s">
        <v>128</v>
      </c>
      <c r="C2" s="207"/>
      <c r="D2" s="207"/>
      <c r="E2" s="140"/>
      <c r="F2" s="69"/>
      <c r="G2" s="69"/>
      <c r="H2" s="69"/>
      <c r="I2" s="69"/>
      <c r="J2" s="69"/>
      <c r="K2" s="69"/>
      <c r="L2" s="69"/>
      <c r="M2" s="69"/>
    </row>
    <row r="3" spans="4:7" ht="15.75" customHeight="1">
      <c r="D3" s="141"/>
      <c r="E3" s="141"/>
      <c r="F3" s="141"/>
      <c r="G3" s="141"/>
    </row>
    <row r="4" spans="2:13" ht="18" customHeight="1">
      <c r="B4" s="232" t="s">
        <v>65</v>
      </c>
      <c r="C4" s="233"/>
      <c r="D4" s="71" t="s">
        <v>21</v>
      </c>
      <c r="E4" s="72"/>
      <c r="F4" s="72"/>
      <c r="G4" s="72"/>
      <c r="H4" s="72"/>
      <c r="I4" s="72"/>
      <c r="J4" s="72"/>
      <c r="K4" s="72"/>
      <c r="L4" s="72"/>
      <c r="M4" s="72"/>
    </row>
    <row r="5" spans="2:4" ht="15.75" customHeight="1">
      <c r="B5" s="241"/>
      <c r="C5" s="241"/>
      <c r="D5" s="73"/>
    </row>
    <row r="6" spans="2:4" ht="16.5" customHeight="1" thickBot="1">
      <c r="B6" s="74"/>
      <c r="C6" s="74"/>
      <c r="D6" s="57" t="s">
        <v>41</v>
      </c>
    </row>
    <row r="7" spans="2:4" ht="16.5" customHeight="1" thickBot="1">
      <c r="B7" s="75" t="s">
        <v>25</v>
      </c>
      <c r="C7" s="76"/>
      <c r="D7" s="77" t="s">
        <v>98</v>
      </c>
    </row>
    <row r="8" spans="2:4" ht="16.5" customHeight="1">
      <c r="B8" s="236" t="s">
        <v>23</v>
      </c>
      <c r="C8" s="237"/>
      <c r="D8" s="62">
        <v>100</v>
      </c>
    </row>
    <row r="9" spans="2:5" ht="15.75" customHeight="1">
      <c r="B9" s="236" t="s">
        <v>83</v>
      </c>
      <c r="C9" s="237"/>
      <c r="D9" s="1">
        <v>9698883</v>
      </c>
      <c r="E9" s="73"/>
    </row>
    <row r="10" spans="2:5" ht="15.75" customHeight="1" thickBot="1">
      <c r="B10" s="238" t="s">
        <v>19</v>
      </c>
      <c r="C10" s="239"/>
      <c r="D10" s="62">
        <v>13000</v>
      </c>
      <c r="E10" s="73"/>
    </row>
    <row r="11" spans="2:4" ht="19.5" customHeight="1" thickBot="1">
      <c r="B11" s="230" t="s">
        <v>26</v>
      </c>
      <c r="C11" s="231"/>
      <c r="D11" s="78">
        <f>SUM(D8:D10)</f>
        <v>9711983</v>
      </c>
    </row>
    <row r="12" spans="2:5" ht="19.5" customHeight="1">
      <c r="B12" s="106"/>
      <c r="C12" s="106"/>
      <c r="D12" s="106"/>
      <c r="E12" s="107"/>
    </row>
    <row r="13" spans="2:9" ht="16.5" customHeight="1" thickBot="1">
      <c r="B13" s="223" t="s">
        <v>55</v>
      </c>
      <c r="C13" s="223"/>
      <c r="D13" s="57" t="s">
        <v>41</v>
      </c>
      <c r="E13" s="142"/>
      <c r="I13" s="143"/>
    </row>
    <row r="14" spans="2:4" s="144" customFormat="1" ht="19.5" customHeight="1">
      <c r="B14" s="245" t="s">
        <v>20</v>
      </c>
      <c r="C14" s="247" t="s">
        <v>0</v>
      </c>
      <c r="D14" s="214" t="s">
        <v>98</v>
      </c>
    </row>
    <row r="15" spans="2:4" s="144" customFormat="1" ht="19.5" customHeight="1">
      <c r="B15" s="246"/>
      <c r="C15" s="248"/>
      <c r="D15" s="244"/>
    </row>
    <row r="16" spans="2:4" s="145" customFormat="1" ht="20.25" customHeight="1">
      <c r="B16" s="112">
        <v>41</v>
      </c>
      <c r="C16" s="59" t="s">
        <v>60</v>
      </c>
      <c r="D16" s="113">
        <f>D17+D19+D21</f>
        <v>5137008</v>
      </c>
    </row>
    <row r="17" spans="2:4" s="145" customFormat="1" ht="18.75" customHeight="1">
      <c r="B17" s="44">
        <v>411</v>
      </c>
      <c r="C17" s="45" t="s">
        <v>1</v>
      </c>
      <c r="D17" s="96">
        <f>SUM(D18:D18)</f>
        <v>4240036</v>
      </c>
    </row>
    <row r="18" spans="2:4" ht="15.75" customHeight="1">
      <c r="B18" s="117">
        <v>4111</v>
      </c>
      <c r="C18" s="146" t="s">
        <v>2</v>
      </c>
      <c r="D18" s="147">
        <v>4240036</v>
      </c>
    </row>
    <row r="19" spans="2:4" s="145" customFormat="1" ht="18.75" customHeight="1">
      <c r="B19" s="44">
        <v>412</v>
      </c>
      <c r="C19" s="45" t="s">
        <v>61</v>
      </c>
      <c r="D19" s="96">
        <f>SUM(D20)</f>
        <v>240842</v>
      </c>
    </row>
    <row r="20" spans="2:4" ht="15.75" customHeight="1">
      <c r="B20" s="117">
        <v>4121</v>
      </c>
      <c r="C20" s="146" t="s">
        <v>61</v>
      </c>
      <c r="D20" s="26">
        <v>240842</v>
      </c>
    </row>
    <row r="21" spans="2:4" s="145" customFormat="1" ht="18.75" customHeight="1">
      <c r="B21" s="44">
        <v>413</v>
      </c>
      <c r="C21" s="45" t="s">
        <v>3</v>
      </c>
      <c r="D21" s="23">
        <f>SUM(D22:D23)</f>
        <v>656130</v>
      </c>
    </row>
    <row r="22" spans="2:4" ht="15.75" customHeight="1">
      <c r="B22" s="117">
        <v>4131</v>
      </c>
      <c r="C22" s="146" t="s">
        <v>4</v>
      </c>
      <c r="D22" s="26">
        <v>645930</v>
      </c>
    </row>
    <row r="23" spans="2:4" ht="15.75" customHeight="1">
      <c r="B23" s="117">
        <v>4134</v>
      </c>
      <c r="C23" s="146" t="s">
        <v>82</v>
      </c>
      <c r="D23" s="26">
        <v>10200</v>
      </c>
    </row>
    <row r="24" spans="2:4" s="145" customFormat="1" ht="20.25" customHeight="1">
      <c r="B24" s="112">
        <v>42</v>
      </c>
      <c r="C24" s="59" t="s">
        <v>5</v>
      </c>
      <c r="D24" s="20">
        <f>D25+D29+D33+D37+D46+D50</f>
        <v>3709541</v>
      </c>
    </row>
    <row r="25" spans="2:4" s="145" customFormat="1" ht="18.75" customHeight="1">
      <c r="B25" s="44">
        <v>421</v>
      </c>
      <c r="C25" s="45" t="s">
        <v>29</v>
      </c>
      <c r="D25" s="23">
        <f>SUM(D26:D28)</f>
        <v>522167</v>
      </c>
    </row>
    <row r="26" spans="2:4" ht="15.75" customHeight="1">
      <c r="B26" s="31">
        <v>4211</v>
      </c>
      <c r="C26" s="104" t="s">
        <v>6</v>
      </c>
      <c r="D26" s="33">
        <v>208000</v>
      </c>
    </row>
    <row r="27" spans="2:4" ht="15.75" customHeight="1">
      <c r="B27" s="31">
        <v>4212</v>
      </c>
      <c r="C27" s="104" t="s">
        <v>7</v>
      </c>
      <c r="D27" s="33">
        <v>137867</v>
      </c>
    </row>
    <row r="28" spans="2:4" ht="15.75" customHeight="1">
      <c r="B28" s="31">
        <v>4213</v>
      </c>
      <c r="C28" s="104" t="s">
        <v>59</v>
      </c>
      <c r="D28" s="33">
        <v>176300</v>
      </c>
    </row>
    <row r="29" spans="2:4" ht="30" customHeight="1">
      <c r="B29" s="44">
        <v>422</v>
      </c>
      <c r="C29" s="45" t="s">
        <v>74</v>
      </c>
      <c r="D29" s="23">
        <f>SUM(D30:D32)</f>
        <v>252000</v>
      </c>
    </row>
    <row r="30" spans="2:4" ht="15.75" customHeight="1">
      <c r="B30" s="31">
        <v>4221</v>
      </c>
      <c r="C30" s="104" t="s">
        <v>32</v>
      </c>
      <c r="D30" s="33">
        <v>135000</v>
      </c>
    </row>
    <row r="31" spans="2:4" ht="15.75" customHeight="1">
      <c r="B31" s="31">
        <v>4222</v>
      </c>
      <c r="C31" s="104" t="s">
        <v>30</v>
      </c>
      <c r="D31" s="33">
        <v>93000</v>
      </c>
    </row>
    <row r="32" spans="2:4" ht="15.75" customHeight="1">
      <c r="B32" s="31">
        <v>4223</v>
      </c>
      <c r="C32" s="104" t="s">
        <v>75</v>
      </c>
      <c r="D32" s="33">
        <v>24000</v>
      </c>
    </row>
    <row r="33" spans="2:4" ht="18.75" customHeight="1">
      <c r="B33" s="44">
        <v>424</v>
      </c>
      <c r="C33" s="45" t="s">
        <v>31</v>
      </c>
      <c r="D33" s="23">
        <f>SUM(D34:D36)</f>
        <v>567104</v>
      </c>
    </row>
    <row r="34" spans="2:4" ht="15.75" customHeight="1">
      <c r="B34" s="31">
        <v>4241</v>
      </c>
      <c r="C34" s="104" t="s">
        <v>32</v>
      </c>
      <c r="D34" s="94">
        <v>492604</v>
      </c>
    </row>
    <row r="35" spans="2:4" ht="15.75" customHeight="1">
      <c r="B35" s="31">
        <v>4242</v>
      </c>
      <c r="C35" s="104" t="s">
        <v>30</v>
      </c>
      <c r="D35" s="33">
        <v>72500</v>
      </c>
    </row>
    <row r="36" spans="2:4" s="145" customFormat="1" ht="15.75" customHeight="1">
      <c r="B36" s="31">
        <v>4243</v>
      </c>
      <c r="C36" s="104" t="s">
        <v>75</v>
      </c>
      <c r="D36" s="33">
        <v>2000</v>
      </c>
    </row>
    <row r="37" spans="2:4" ht="18.75" customHeight="1">
      <c r="B37" s="44">
        <v>425</v>
      </c>
      <c r="C37" s="45" t="s">
        <v>11</v>
      </c>
      <c r="D37" s="23">
        <f>SUM(D38:D45)</f>
        <v>2035823</v>
      </c>
    </row>
    <row r="38" spans="2:4" ht="15.75" customHeight="1">
      <c r="B38" s="31">
        <v>4251</v>
      </c>
      <c r="C38" s="104" t="s">
        <v>12</v>
      </c>
      <c r="D38" s="33">
        <v>129765</v>
      </c>
    </row>
    <row r="39" spans="2:4" ht="15.75" customHeight="1">
      <c r="B39" s="31">
        <v>4252</v>
      </c>
      <c r="C39" s="104" t="s">
        <v>13</v>
      </c>
      <c r="D39" s="33">
        <v>49236</v>
      </c>
    </row>
    <row r="40" spans="2:4" ht="15.75" customHeight="1">
      <c r="B40" s="31">
        <v>4253</v>
      </c>
      <c r="C40" s="104" t="s">
        <v>18</v>
      </c>
      <c r="D40" s="33">
        <v>190929</v>
      </c>
    </row>
    <row r="41" spans="2:4" ht="15.75" customHeight="1">
      <c r="B41" s="31">
        <v>4254</v>
      </c>
      <c r="C41" s="104" t="s">
        <v>14</v>
      </c>
      <c r="D41" s="33">
        <v>23000</v>
      </c>
    </row>
    <row r="42" spans="2:4" ht="15.75" customHeight="1">
      <c r="B42" s="31">
        <v>4255</v>
      </c>
      <c r="C42" s="104" t="s">
        <v>15</v>
      </c>
      <c r="D42" s="94">
        <v>412552</v>
      </c>
    </row>
    <row r="43" spans="2:4" ht="15.75" customHeight="1">
      <c r="B43" s="31">
        <v>4257</v>
      </c>
      <c r="C43" s="104" t="s">
        <v>16</v>
      </c>
      <c r="D43" s="33">
        <v>212225</v>
      </c>
    </row>
    <row r="44" spans="2:4" ht="15.75" customHeight="1">
      <c r="B44" s="46">
        <v>4258</v>
      </c>
      <c r="C44" s="148" t="s">
        <v>33</v>
      </c>
      <c r="D44" s="41">
        <v>767152</v>
      </c>
    </row>
    <row r="45" spans="2:4" s="145" customFormat="1" ht="19.5" customHeight="1">
      <c r="B45" s="31">
        <v>4259</v>
      </c>
      <c r="C45" s="104" t="s">
        <v>17</v>
      </c>
      <c r="D45" s="33">
        <v>250964</v>
      </c>
    </row>
    <row r="46" spans="2:4" ht="18.75" customHeight="1">
      <c r="B46" s="44">
        <v>426</v>
      </c>
      <c r="C46" s="45" t="s">
        <v>8</v>
      </c>
      <c r="D46" s="23">
        <f>SUM(D47:D49)</f>
        <v>201047</v>
      </c>
    </row>
    <row r="47" spans="2:4" ht="15.75" customHeight="1">
      <c r="B47" s="46">
        <v>4261</v>
      </c>
      <c r="C47" s="148" t="s">
        <v>9</v>
      </c>
      <c r="D47" s="41">
        <v>126247</v>
      </c>
    </row>
    <row r="48" spans="2:4" ht="15.75" customHeight="1">
      <c r="B48" s="46">
        <v>4263</v>
      </c>
      <c r="C48" s="148" t="s">
        <v>10</v>
      </c>
      <c r="D48" s="41">
        <v>53000</v>
      </c>
    </row>
    <row r="49" spans="2:4" s="145" customFormat="1" ht="19.5" customHeight="1">
      <c r="B49" s="31">
        <v>4264</v>
      </c>
      <c r="C49" s="104" t="s">
        <v>62</v>
      </c>
      <c r="D49" s="33">
        <v>21800</v>
      </c>
    </row>
    <row r="50" spans="2:4" ht="18.75" customHeight="1">
      <c r="B50" s="149">
        <v>429</v>
      </c>
      <c r="C50" s="137" t="s">
        <v>76</v>
      </c>
      <c r="D50" s="150">
        <f>SUM(D51:D53)</f>
        <v>131400</v>
      </c>
    </row>
    <row r="51" spans="2:4" ht="15.75" customHeight="1">
      <c r="B51" s="46">
        <v>4292</v>
      </c>
      <c r="C51" s="148" t="s">
        <v>35</v>
      </c>
      <c r="D51" s="41">
        <v>90000</v>
      </c>
    </row>
    <row r="52" spans="2:4" ht="15.75" customHeight="1">
      <c r="B52" s="46">
        <v>4293</v>
      </c>
      <c r="C52" s="148" t="s">
        <v>36</v>
      </c>
      <c r="D52" s="41">
        <v>35400</v>
      </c>
    </row>
    <row r="53" spans="2:4" ht="15.75" customHeight="1">
      <c r="B53" s="31">
        <v>4295</v>
      </c>
      <c r="C53" s="104" t="s">
        <v>76</v>
      </c>
      <c r="D53" s="33">
        <v>6000</v>
      </c>
    </row>
    <row r="54" spans="2:4" ht="19.5" customHeight="1">
      <c r="B54" s="112">
        <v>43</v>
      </c>
      <c r="C54" s="59" t="s">
        <v>28</v>
      </c>
      <c r="D54" s="20">
        <f>D55</f>
        <v>285734</v>
      </c>
    </row>
    <row r="55" spans="2:4" ht="18.75" customHeight="1">
      <c r="B55" s="44">
        <v>431</v>
      </c>
      <c r="C55" s="45" t="s">
        <v>34</v>
      </c>
      <c r="D55" s="23">
        <f>SUM(D56)</f>
        <v>285734</v>
      </c>
    </row>
    <row r="56" spans="2:4" ht="15.75" customHeight="1">
      <c r="B56" s="46">
        <v>4311</v>
      </c>
      <c r="C56" s="47" t="s">
        <v>34</v>
      </c>
      <c r="D56" s="62">
        <v>285734</v>
      </c>
    </row>
    <row r="57" spans="2:4" ht="19.5" customHeight="1">
      <c r="B57" s="42">
        <v>44</v>
      </c>
      <c r="C57" s="151" t="s">
        <v>37</v>
      </c>
      <c r="D57" s="152">
        <f>D58</f>
        <v>29100</v>
      </c>
    </row>
    <row r="58" spans="2:4" ht="15.75" customHeight="1">
      <c r="B58" s="44">
        <v>443</v>
      </c>
      <c r="C58" s="45" t="s">
        <v>79</v>
      </c>
      <c r="D58" s="23">
        <f>SUM(D59:D61)</f>
        <v>29100</v>
      </c>
    </row>
    <row r="59" spans="2:4" ht="15.75" customHeight="1">
      <c r="B59" s="46">
        <v>4431</v>
      </c>
      <c r="C59" s="47" t="s">
        <v>63</v>
      </c>
      <c r="D59" s="41">
        <v>26000</v>
      </c>
    </row>
    <row r="60" spans="2:4" ht="15.75" customHeight="1">
      <c r="B60" s="46">
        <v>4432</v>
      </c>
      <c r="C60" s="47" t="s">
        <v>38</v>
      </c>
      <c r="D60" s="41">
        <v>3000</v>
      </c>
    </row>
    <row r="61" spans="2:4" ht="15.75" customHeight="1">
      <c r="B61" s="46">
        <v>4433</v>
      </c>
      <c r="C61" s="47" t="s">
        <v>57</v>
      </c>
      <c r="D61" s="41">
        <v>100</v>
      </c>
    </row>
    <row r="62" spans="2:4" ht="19.5" customHeight="1">
      <c r="B62" s="42">
        <v>46</v>
      </c>
      <c r="C62" s="43" t="s">
        <v>39</v>
      </c>
      <c r="D62" s="20">
        <f>D63</f>
        <v>10600</v>
      </c>
    </row>
    <row r="63" spans="2:4" ht="18.75" customHeight="1">
      <c r="B63" s="44">
        <v>462</v>
      </c>
      <c r="C63" s="45" t="s">
        <v>80</v>
      </c>
      <c r="D63" s="23">
        <f>SUM(D64:D66)</f>
        <v>10600</v>
      </c>
    </row>
    <row r="64" spans="2:4" ht="30">
      <c r="B64" s="46">
        <v>4621</v>
      </c>
      <c r="C64" s="47" t="s">
        <v>58</v>
      </c>
      <c r="D64" s="41">
        <v>10000</v>
      </c>
    </row>
    <row r="65" spans="2:4" ht="15.75">
      <c r="B65" s="31">
        <v>4622</v>
      </c>
      <c r="C65" s="153" t="s">
        <v>77</v>
      </c>
      <c r="D65" s="33">
        <v>50</v>
      </c>
    </row>
    <row r="66" spans="2:4" ht="16.5" thickBot="1">
      <c r="B66" s="31">
        <v>4624</v>
      </c>
      <c r="C66" s="153" t="s">
        <v>80</v>
      </c>
      <c r="D66" s="33">
        <v>550</v>
      </c>
    </row>
    <row r="67" spans="2:4" ht="19.5" customHeight="1" thickBot="1">
      <c r="B67" s="230" t="s">
        <v>27</v>
      </c>
      <c r="C67" s="231"/>
      <c r="D67" s="48">
        <f>D16+D24+D54+D57+D62</f>
        <v>9171983</v>
      </c>
    </row>
    <row r="68" spans="2:4" ht="18.75" customHeight="1" thickBot="1">
      <c r="B68" s="54"/>
      <c r="C68" s="54"/>
      <c r="D68" s="55"/>
    </row>
    <row r="69" spans="2:4" s="2" customFormat="1" ht="39.75" customHeight="1" thickBot="1">
      <c r="B69" s="257" t="s">
        <v>137</v>
      </c>
      <c r="C69" s="258"/>
      <c r="D69" s="15">
        <f>D11-D67</f>
        <v>540000</v>
      </c>
    </row>
    <row r="70" spans="2:4" ht="15.75" customHeight="1">
      <c r="B70" s="2"/>
      <c r="C70" s="2"/>
      <c r="D70" s="56"/>
    </row>
    <row r="71" spans="2:4" ht="15.75" customHeight="1">
      <c r="B71" s="2"/>
      <c r="C71" s="2"/>
      <c r="D71" s="56"/>
    </row>
    <row r="72" spans="2:4" ht="16.5" customHeight="1" thickBot="1">
      <c r="B72" s="223" t="s">
        <v>66</v>
      </c>
      <c r="C72" s="223"/>
      <c r="D72" s="57" t="s">
        <v>41</v>
      </c>
    </row>
    <row r="73" spans="2:4" ht="15.75" customHeight="1">
      <c r="B73" s="245" t="s">
        <v>53</v>
      </c>
      <c r="C73" s="247" t="s">
        <v>0</v>
      </c>
      <c r="D73" s="214" t="s">
        <v>98</v>
      </c>
    </row>
    <row r="74" spans="2:4" ht="24.75" customHeight="1" thickBot="1">
      <c r="B74" s="251"/>
      <c r="C74" s="252"/>
      <c r="D74" s="215"/>
    </row>
    <row r="75" spans="2:4" ht="19.5" customHeight="1">
      <c r="B75" s="154" t="s">
        <v>44</v>
      </c>
      <c r="C75" s="155" t="s">
        <v>42</v>
      </c>
      <c r="D75" s="156">
        <f>SUM(D76)</f>
        <v>90000</v>
      </c>
    </row>
    <row r="76" spans="2:4" ht="15.75" customHeight="1">
      <c r="B76" s="122" t="s">
        <v>45</v>
      </c>
      <c r="C76" s="45" t="s">
        <v>43</v>
      </c>
      <c r="D76" s="96">
        <f>SUM(D77:D77)</f>
        <v>90000</v>
      </c>
    </row>
    <row r="77" spans="2:4" ht="19.5" customHeight="1">
      <c r="B77" s="138" t="s">
        <v>56</v>
      </c>
      <c r="C77" s="104" t="s">
        <v>85</v>
      </c>
      <c r="D77" s="94">
        <v>90000</v>
      </c>
    </row>
    <row r="78" spans="2:4" ht="15.75" customHeight="1">
      <c r="B78" s="58" t="s">
        <v>46</v>
      </c>
      <c r="C78" s="59" t="s">
        <v>47</v>
      </c>
      <c r="D78" s="113">
        <f>SUM(D79+D81)</f>
        <v>174845</v>
      </c>
    </row>
    <row r="79" spans="2:4" ht="18" customHeight="1">
      <c r="B79" s="122" t="s">
        <v>48</v>
      </c>
      <c r="C79" s="45" t="s">
        <v>49</v>
      </c>
      <c r="D79" s="96">
        <f>SUM(D80:D80)</f>
        <v>165470</v>
      </c>
    </row>
    <row r="80" spans="2:4" ht="15.75">
      <c r="B80" s="61" t="s">
        <v>40</v>
      </c>
      <c r="C80" s="47" t="s">
        <v>52</v>
      </c>
      <c r="D80" s="62">
        <v>165470</v>
      </c>
    </row>
    <row r="81" spans="2:4" ht="15.75">
      <c r="B81" s="122" t="s">
        <v>50</v>
      </c>
      <c r="C81" s="45" t="s">
        <v>51</v>
      </c>
      <c r="D81" s="139">
        <f>SUM(D82:D82)</f>
        <v>9375</v>
      </c>
    </row>
    <row r="82" spans="2:4" ht="16.5" thickBot="1">
      <c r="B82" s="61" t="s">
        <v>133</v>
      </c>
      <c r="C82" s="47" t="s">
        <v>132</v>
      </c>
      <c r="D82" s="62">
        <v>9375</v>
      </c>
    </row>
    <row r="83" spans="2:6" s="157" customFormat="1" ht="19.5" customHeight="1" thickBot="1">
      <c r="B83" s="230" t="s">
        <v>54</v>
      </c>
      <c r="C83" s="231"/>
      <c r="D83" s="63">
        <f>D75+D78</f>
        <v>264845</v>
      </c>
      <c r="E83" s="256"/>
      <c r="F83" s="240"/>
    </row>
    <row r="84" spans="4:6" s="157" customFormat="1" ht="15">
      <c r="D84" s="158"/>
      <c r="E84" s="240"/>
      <c r="F84" s="240"/>
    </row>
    <row r="85" spans="2:4" ht="18">
      <c r="B85" s="227" t="s">
        <v>146</v>
      </c>
      <c r="C85" s="227"/>
      <c r="D85" s="90"/>
    </row>
    <row r="86" spans="2:4" ht="30" customHeight="1">
      <c r="B86" s="91" t="s">
        <v>147</v>
      </c>
      <c r="C86" s="92"/>
      <c r="D86" s="93" t="s">
        <v>64</v>
      </c>
    </row>
    <row r="87" ht="15.75">
      <c r="B87" s="91" t="s">
        <v>148</v>
      </c>
    </row>
    <row r="88" spans="2:4" ht="15.75">
      <c r="B88" s="157"/>
      <c r="C88" s="157"/>
      <c r="D88" s="159"/>
    </row>
  </sheetData>
  <sheetProtection password="9BB3" sheet="1"/>
  <mergeCells count="21">
    <mergeCell ref="E84:F84"/>
    <mergeCell ref="B13:C13"/>
    <mergeCell ref="B14:B15"/>
    <mergeCell ref="C14:C15"/>
    <mergeCell ref="C73:C74"/>
    <mergeCell ref="B72:C72"/>
    <mergeCell ref="B85:C85"/>
    <mergeCell ref="B73:B74"/>
    <mergeCell ref="B83:C83"/>
    <mergeCell ref="D73:D74"/>
    <mergeCell ref="D14:D15"/>
    <mergeCell ref="B69:C69"/>
    <mergeCell ref="B2:D2"/>
    <mergeCell ref="B4:C4"/>
    <mergeCell ref="B5:C5"/>
    <mergeCell ref="B9:C9"/>
    <mergeCell ref="B11:C11"/>
    <mergeCell ref="E83:F83"/>
    <mergeCell ref="B8:C8"/>
    <mergeCell ref="B67:C67"/>
    <mergeCell ref="B10:C10"/>
  </mergeCells>
  <printOptions/>
  <pageMargins left="0.5905511811023623" right="0.5905511811023623" top="1.31" bottom="0.6692913385826772" header="0.4724409448818898" footer="0.2755905511811024"/>
  <pageSetup horizontalDpi="600" verticalDpi="600" orientation="portrait" paperSize="9" scale="49" r:id="rId2"/>
  <headerFooter alignWithMargins="0">
    <oddHeader>&amp;L&amp;G
Hrvatska zaklada za znanost
Ilica 24, 10000 Zagreb&amp;R
</oddHeader>
    <oddFooter>&amp;CIlica 24, 10000 Zagreb / Vladimira Nazora 2, 51410 Opatija 
tel 051 228-690 faks 051 271-085 www.hrzz.hr MB 1626841 OIB 88776522763 IBAN HR3323600001101575620&amp;RFinancijski plan za 2021. godinu str. &amp;P od &amp;N</oddFooter>
  </headerFooter>
  <rowBreaks count="1" manualBreakCount="1">
    <brk id="45" max="4" man="1"/>
  </rowBreaks>
  <ignoredErrors>
    <ignoredError sqref="B75:B80 B81" numberStoredAsText="1"/>
  </ignoredErrors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J28"/>
  <sheetViews>
    <sheetView zoomScale="80" zoomScaleNormal="80" workbookViewId="0" topLeftCell="A1">
      <selection activeCell="A1" sqref="A1"/>
    </sheetView>
  </sheetViews>
  <sheetFormatPr defaultColWidth="9.140625" defaultRowHeight="12.75"/>
  <cols>
    <col min="1" max="1" width="24.7109375" style="30" customWidth="1"/>
    <col min="2" max="2" width="13.140625" style="30" customWidth="1"/>
    <col min="3" max="3" width="66.421875" style="30" customWidth="1"/>
    <col min="4" max="4" width="43.57421875" style="68" customWidth="1"/>
    <col min="5" max="5" width="24.7109375" style="30" customWidth="1"/>
    <col min="6" max="6" width="15.28125" style="30" customWidth="1"/>
    <col min="7" max="16384" width="9.140625" style="30" customWidth="1"/>
  </cols>
  <sheetData>
    <row r="1" ht="33" customHeight="1"/>
    <row r="2" spans="2:10" ht="79.5" customHeight="1">
      <c r="B2" s="207" t="s">
        <v>127</v>
      </c>
      <c r="C2" s="207"/>
      <c r="D2" s="207"/>
      <c r="E2" s="140"/>
      <c r="F2" s="69"/>
      <c r="G2" s="69"/>
      <c r="H2" s="69"/>
      <c r="I2" s="69"/>
      <c r="J2" s="69"/>
    </row>
    <row r="3" spans="4:5" ht="15.75" customHeight="1">
      <c r="D3" s="141"/>
      <c r="E3" s="141"/>
    </row>
    <row r="4" spans="2:10" ht="18" customHeight="1">
      <c r="B4" s="232" t="s">
        <v>65</v>
      </c>
      <c r="C4" s="233"/>
      <c r="D4" s="71" t="s">
        <v>21</v>
      </c>
      <c r="E4" s="72"/>
      <c r="F4" s="72"/>
      <c r="G4" s="72"/>
      <c r="H4" s="72"/>
      <c r="I4" s="72"/>
      <c r="J4" s="72"/>
    </row>
    <row r="5" spans="2:4" ht="15.75" customHeight="1">
      <c r="B5" s="241"/>
      <c r="C5" s="241"/>
      <c r="D5" s="73"/>
    </row>
    <row r="6" spans="2:4" ht="16.5" customHeight="1" thickBot="1">
      <c r="B6" s="74"/>
      <c r="C6" s="74"/>
      <c r="D6" s="57" t="s">
        <v>41</v>
      </c>
    </row>
    <row r="7" spans="2:4" ht="16.5" customHeight="1" thickBot="1">
      <c r="B7" s="75" t="s">
        <v>25</v>
      </c>
      <c r="C7" s="76"/>
      <c r="D7" s="77" t="s">
        <v>98</v>
      </c>
    </row>
    <row r="8" spans="2:4" ht="15.75" customHeight="1">
      <c r="B8" s="234" t="s">
        <v>23</v>
      </c>
      <c r="C8" s="235"/>
      <c r="D8" s="170">
        <v>14900</v>
      </c>
    </row>
    <row r="9" spans="2:4" ht="15.75" customHeight="1">
      <c r="B9" s="205" t="s">
        <v>83</v>
      </c>
      <c r="C9" s="206"/>
      <c r="D9" s="170">
        <v>90675000</v>
      </c>
    </row>
    <row r="10" spans="2:4" ht="15.75" customHeight="1" thickBot="1">
      <c r="B10" s="236" t="s">
        <v>19</v>
      </c>
      <c r="C10" s="237"/>
      <c r="D10" s="1">
        <v>228564</v>
      </c>
    </row>
    <row r="11" spans="2:4" ht="19.5" customHeight="1" thickBot="1">
      <c r="B11" s="230" t="s">
        <v>26</v>
      </c>
      <c r="C11" s="231"/>
      <c r="D11" s="78">
        <f>SUM(D8:D10)</f>
        <v>90918464</v>
      </c>
    </row>
    <row r="12" spans="2:4" ht="32.25" customHeight="1" thickBot="1">
      <c r="B12" s="242" t="s">
        <v>139</v>
      </c>
      <c r="C12" s="243"/>
      <c r="D12" s="171">
        <v>61076152</v>
      </c>
    </row>
    <row r="13" spans="2:4" ht="20.25" customHeight="1" thickBot="1">
      <c r="B13" s="230" t="s">
        <v>84</v>
      </c>
      <c r="C13" s="231"/>
      <c r="D13" s="78">
        <f>D11+D12</f>
        <v>151994616</v>
      </c>
    </row>
    <row r="14" spans="2:5" ht="18" customHeight="1">
      <c r="B14" s="106"/>
      <c r="C14" s="106"/>
      <c r="D14" s="106"/>
      <c r="E14" s="107"/>
    </row>
    <row r="15" spans="2:6" ht="16.5" customHeight="1" thickBot="1">
      <c r="B15" s="223" t="s">
        <v>55</v>
      </c>
      <c r="C15" s="223"/>
      <c r="D15" s="57" t="s">
        <v>41</v>
      </c>
      <c r="E15" s="142"/>
      <c r="F15" s="143"/>
    </row>
    <row r="16" spans="2:4" s="144" customFormat="1" ht="19.5" customHeight="1">
      <c r="B16" s="245" t="s">
        <v>20</v>
      </c>
      <c r="C16" s="247" t="s">
        <v>0</v>
      </c>
      <c r="D16" s="214" t="s">
        <v>98</v>
      </c>
    </row>
    <row r="17" spans="2:4" s="144" customFormat="1" ht="19.5" customHeight="1">
      <c r="B17" s="246"/>
      <c r="C17" s="248"/>
      <c r="D17" s="244"/>
    </row>
    <row r="18" spans="2:4" ht="15.75" customHeight="1">
      <c r="B18" s="42">
        <v>45</v>
      </c>
      <c r="C18" s="43" t="s">
        <v>87</v>
      </c>
      <c r="D18" s="20">
        <f>D19</f>
        <v>160945575</v>
      </c>
    </row>
    <row r="19" spans="2:4" ht="15.75" customHeight="1">
      <c r="B19" s="44">
        <v>451</v>
      </c>
      <c r="C19" s="45" t="s">
        <v>88</v>
      </c>
      <c r="D19" s="23">
        <f>D20</f>
        <v>160945575</v>
      </c>
    </row>
    <row r="20" spans="2:4" ht="15.75" customHeight="1" thickBot="1">
      <c r="B20" s="46">
        <v>4511</v>
      </c>
      <c r="C20" s="47" t="s">
        <v>88</v>
      </c>
      <c r="D20" s="62">
        <v>160945575</v>
      </c>
    </row>
    <row r="21" spans="2:4" ht="19.5" customHeight="1" thickBot="1">
      <c r="B21" s="230" t="s">
        <v>27</v>
      </c>
      <c r="C21" s="231"/>
      <c r="D21" s="48">
        <f>D18</f>
        <v>160945575</v>
      </c>
    </row>
    <row r="22" spans="2:4" ht="19.5" customHeight="1" thickBot="1">
      <c r="B22" s="64"/>
      <c r="C22" s="65"/>
      <c r="D22" s="90"/>
    </row>
    <row r="23" spans="2:4" s="2" customFormat="1" ht="45.75" customHeight="1" thickBot="1">
      <c r="B23" s="249" t="s">
        <v>138</v>
      </c>
      <c r="C23" s="250"/>
      <c r="D23" s="15">
        <f>D13-D21</f>
        <v>-8950959</v>
      </c>
    </row>
    <row r="24" spans="2:4" s="2" customFormat="1" ht="39.75" customHeight="1">
      <c r="B24" s="172"/>
      <c r="C24" s="172"/>
      <c r="D24" s="172"/>
    </row>
    <row r="25" spans="2:4" s="2" customFormat="1" ht="15.75" customHeight="1">
      <c r="B25" s="227" t="s">
        <v>146</v>
      </c>
      <c r="C25" s="227"/>
      <c r="D25" s="90"/>
    </row>
    <row r="26" spans="2:4" ht="30">
      <c r="B26" s="91" t="s">
        <v>147</v>
      </c>
      <c r="C26" s="92"/>
      <c r="D26" s="93" t="s">
        <v>64</v>
      </c>
    </row>
    <row r="27" ht="15.75" customHeight="1">
      <c r="B27" s="91" t="s">
        <v>148</v>
      </c>
    </row>
    <row r="28" spans="2:4" ht="15.75">
      <c r="B28" s="157"/>
      <c r="C28" s="157"/>
      <c r="D28" s="167"/>
    </row>
    <row r="30" ht="15.75" customHeight="1"/>
  </sheetData>
  <sheetProtection password="9BB3" sheet="1"/>
  <mergeCells count="15">
    <mergeCell ref="B25:C25"/>
    <mergeCell ref="B21:C21"/>
    <mergeCell ref="B15:C15"/>
    <mergeCell ref="B16:B17"/>
    <mergeCell ref="C16:C17"/>
    <mergeCell ref="B23:C23"/>
    <mergeCell ref="D16:D17"/>
    <mergeCell ref="B2:D2"/>
    <mergeCell ref="B4:C4"/>
    <mergeCell ref="B5:C5"/>
    <mergeCell ref="B8:C8"/>
    <mergeCell ref="B10:C10"/>
    <mergeCell ref="B11:C11"/>
    <mergeCell ref="B12:C12"/>
    <mergeCell ref="B13:C13"/>
  </mergeCells>
  <printOptions/>
  <pageMargins left="0.5905511811023623" right="0.5905511811023623" top="1.31" bottom="0.6692913385826772" header="0.4724409448818898" footer="0.2755905511811024"/>
  <pageSetup horizontalDpi="600" verticalDpi="600" orientation="portrait" paperSize="9" scale="49" r:id="rId2"/>
  <headerFooter alignWithMargins="0">
    <oddHeader>&amp;L&amp;G
Hrvatska zaklada za znanost
Ilica 24, 10000 Zagreb&amp;R
</oddHeader>
    <oddFooter>&amp;CIlica 24, 10000 Zagreb / Vladimira Nazora 2, 51410 Opatija 
tel 051 228-690 faks 051 271-085 www.hrzz.hr MB 1626841 OIB 88776522763 IBAN HR3323600001101575620&amp;RFinancijski plan za 2021. godinu str. &amp;P od &amp;N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M26"/>
  <sheetViews>
    <sheetView zoomScale="80" zoomScaleNormal="80" workbookViewId="0" topLeftCell="A1">
      <selection activeCell="A1" sqref="A1"/>
    </sheetView>
  </sheetViews>
  <sheetFormatPr defaultColWidth="9.140625" defaultRowHeight="12.75"/>
  <cols>
    <col min="1" max="1" width="24.7109375" style="30" customWidth="1"/>
    <col min="2" max="2" width="13.140625" style="30" customWidth="1"/>
    <col min="3" max="3" width="66.421875" style="30" customWidth="1"/>
    <col min="4" max="4" width="43.57421875" style="68" customWidth="1"/>
    <col min="5" max="5" width="24.7109375" style="30" customWidth="1"/>
    <col min="6" max="9" width="15.28125" style="30" customWidth="1"/>
    <col min="10" max="16384" width="9.140625" style="30" customWidth="1"/>
  </cols>
  <sheetData>
    <row r="1" ht="33" customHeight="1"/>
    <row r="2" spans="2:13" ht="79.5" customHeight="1">
      <c r="B2" s="207" t="s">
        <v>126</v>
      </c>
      <c r="C2" s="207"/>
      <c r="D2" s="207"/>
      <c r="E2" s="140"/>
      <c r="F2" s="69"/>
      <c r="G2" s="69"/>
      <c r="H2" s="69"/>
      <c r="I2" s="69"/>
      <c r="J2" s="69"/>
      <c r="K2" s="69"/>
      <c r="L2" s="69"/>
      <c r="M2" s="69"/>
    </row>
    <row r="3" spans="4:7" ht="15.75" customHeight="1">
      <c r="D3" s="141"/>
      <c r="E3" s="141"/>
      <c r="F3" s="141"/>
      <c r="G3" s="141"/>
    </row>
    <row r="4" spans="2:13" ht="18" customHeight="1">
      <c r="B4" s="232" t="s">
        <v>65</v>
      </c>
      <c r="C4" s="233"/>
      <c r="D4" s="71" t="s">
        <v>21</v>
      </c>
      <c r="E4" s="72"/>
      <c r="F4" s="72"/>
      <c r="G4" s="72"/>
      <c r="H4" s="72"/>
      <c r="I4" s="72"/>
      <c r="J4" s="72"/>
      <c r="K4" s="72"/>
      <c r="L4" s="72"/>
      <c r="M4" s="72"/>
    </row>
    <row r="5" spans="2:4" ht="15.75">
      <c r="B5" s="241"/>
      <c r="C5" s="241"/>
      <c r="D5" s="73"/>
    </row>
    <row r="6" spans="2:4" ht="16.5" customHeight="1" thickBot="1">
      <c r="B6" s="74"/>
      <c r="C6" s="74"/>
      <c r="D6" s="57" t="s">
        <v>41</v>
      </c>
    </row>
    <row r="7" spans="2:4" ht="16.5" customHeight="1" thickBot="1">
      <c r="B7" s="75" t="s">
        <v>25</v>
      </c>
      <c r="C7" s="76"/>
      <c r="D7" s="77" t="s">
        <v>98</v>
      </c>
    </row>
    <row r="8" spans="2:4" ht="15.75" customHeight="1" thickBot="1">
      <c r="B8" s="236" t="s">
        <v>83</v>
      </c>
      <c r="C8" s="237"/>
      <c r="D8" s="1">
        <v>67285235</v>
      </c>
    </row>
    <row r="9" spans="2:5" ht="19.5" customHeight="1" thickBot="1">
      <c r="B9" s="230" t="s">
        <v>26</v>
      </c>
      <c r="C9" s="231"/>
      <c r="D9" s="78">
        <f>SUM(D8:D8)</f>
        <v>67285235</v>
      </c>
      <c r="E9" s="107"/>
    </row>
    <row r="10" spans="2:4" s="144" customFormat="1" ht="18" customHeight="1">
      <c r="B10" s="106"/>
      <c r="C10" s="106"/>
      <c r="D10" s="106"/>
    </row>
    <row r="11" spans="2:4" ht="16.5" customHeight="1" thickBot="1">
      <c r="B11" s="223" t="s">
        <v>55</v>
      </c>
      <c r="C11" s="223"/>
      <c r="D11" s="57" t="s">
        <v>41</v>
      </c>
    </row>
    <row r="12" spans="2:4" ht="18" customHeight="1">
      <c r="B12" s="245" t="s">
        <v>20</v>
      </c>
      <c r="C12" s="247" t="s">
        <v>0</v>
      </c>
      <c r="D12" s="214" t="s">
        <v>98</v>
      </c>
    </row>
    <row r="13" spans="2:4" ht="18" customHeight="1">
      <c r="B13" s="246"/>
      <c r="C13" s="248"/>
      <c r="D13" s="244"/>
    </row>
    <row r="14" spans="2:4" ht="15.75" customHeight="1">
      <c r="B14" s="42">
        <v>45</v>
      </c>
      <c r="C14" s="43" t="s">
        <v>87</v>
      </c>
      <c r="D14" s="20">
        <f>D15</f>
        <v>67285235</v>
      </c>
    </row>
    <row r="15" spans="2:4" ht="15.75" customHeight="1">
      <c r="B15" s="44">
        <v>451</v>
      </c>
      <c r="C15" s="45" t="s">
        <v>88</v>
      </c>
      <c r="D15" s="23">
        <f>D16</f>
        <v>67285235</v>
      </c>
    </row>
    <row r="16" spans="2:8" ht="15.75" customHeight="1" thickBot="1">
      <c r="B16" s="46">
        <v>4511</v>
      </c>
      <c r="C16" s="47" t="s">
        <v>88</v>
      </c>
      <c r="D16" s="62">
        <f>67283481+1754</f>
        <v>67285235</v>
      </c>
      <c r="G16" s="259"/>
      <c r="H16" s="259"/>
    </row>
    <row r="17" spans="2:6" s="157" customFormat="1" ht="19.5" customHeight="1" thickBot="1">
      <c r="B17" s="230" t="s">
        <v>27</v>
      </c>
      <c r="C17" s="231"/>
      <c r="D17" s="48">
        <f>D14</f>
        <v>67285235</v>
      </c>
      <c r="E17" s="240"/>
      <c r="F17" s="240"/>
    </row>
    <row r="18" spans="2:4" ht="18.75" thickBot="1">
      <c r="B18" s="64"/>
      <c r="C18" s="65"/>
      <c r="D18" s="90"/>
    </row>
    <row r="19" spans="2:4" ht="39.75" customHeight="1" thickBot="1">
      <c r="B19" s="260" t="s">
        <v>112</v>
      </c>
      <c r="C19" s="261"/>
      <c r="D19" s="169">
        <f>68829696-D17+42293038</f>
        <v>43837499</v>
      </c>
    </row>
    <row r="20" spans="2:4" ht="15.75">
      <c r="B20" s="157"/>
      <c r="C20" s="157"/>
      <c r="D20" s="158"/>
    </row>
    <row r="21" spans="2:4" ht="18">
      <c r="B21" s="227" t="s">
        <v>146</v>
      </c>
      <c r="C21" s="227"/>
      <c r="D21" s="90"/>
    </row>
    <row r="22" spans="2:4" ht="30" customHeight="1">
      <c r="B22" s="91" t="s">
        <v>147</v>
      </c>
      <c r="C22" s="92"/>
      <c r="D22" s="93" t="s">
        <v>64</v>
      </c>
    </row>
    <row r="23" ht="15.75" customHeight="1">
      <c r="B23" s="91" t="s">
        <v>148</v>
      </c>
    </row>
    <row r="24" spans="2:4" ht="18">
      <c r="B24" s="227"/>
      <c r="C24" s="227"/>
      <c r="D24" s="90"/>
    </row>
    <row r="25" spans="2:4" ht="15.75">
      <c r="B25" s="91"/>
      <c r="C25" s="92"/>
      <c r="D25" s="93"/>
    </row>
    <row r="26" ht="15.75">
      <c r="B26" s="91"/>
    </row>
  </sheetData>
  <sheetProtection password="9BB3" sheet="1"/>
  <mergeCells count="15">
    <mergeCell ref="B9:C9"/>
    <mergeCell ref="G16:H16"/>
    <mergeCell ref="E17:F17"/>
    <mergeCell ref="B21:C21"/>
    <mergeCell ref="B19:C19"/>
    <mergeCell ref="B2:D2"/>
    <mergeCell ref="B4:C4"/>
    <mergeCell ref="B5:C5"/>
    <mergeCell ref="B8:C8"/>
    <mergeCell ref="B24:C24"/>
    <mergeCell ref="D12:D13"/>
    <mergeCell ref="B17:C17"/>
    <mergeCell ref="B11:C11"/>
    <mergeCell ref="B12:B13"/>
    <mergeCell ref="C12:C13"/>
  </mergeCells>
  <printOptions/>
  <pageMargins left="0.5905511811023623" right="0.5905511811023623" top="1.31" bottom="0.6692913385826772" header="0.4724409448818898" footer="0.2755905511811024"/>
  <pageSetup horizontalDpi="600" verticalDpi="600" orientation="portrait" paperSize="9" scale="49" r:id="rId2"/>
  <headerFooter alignWithMargins="0">
    <oddHeader>&amp;L&amp;G
Hrvatska zaklada za znanost
Ilica 24, 10000 Zagreb&amp;R
</oddHeader>
    <oddFooter>&amp;CIlica 24, 10000 Zagreb / Vladimira Nazora 2, 51410 Opatija 
tel 051 228-690 faks 051 271-085 www.hrzz.hr MB 1626841 OIB 88776522763 IBAN HR3323600001101575620&amp;RFinancijski plan za 2021. godinu str. &amp;P od &amp;N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F42"/>
  <sheetViews>
    <sheetView zoomScale="80" zoomScaleNormal="80" workbookViewId="0" topLeftCell="A1">
      <selection activeCell="A1" sqref="A1"/>
    </sheetView>
  </sheetViews>
  <sheetFormatPr defaultColWidth="9.140625" defaultRowHeight="12.75"/>
  <cols>
    <col min="1" max="1" width="24.7109375" style="30" customWidth="1"/>
    <col min="2" max="2" width="13.140625" style="30" customWidth="1"/>
    <col min="3" max="3" width="66.421875" style="30" customWidth="1"/>
    <col min="4" max="4" width="43.57421875" style="68" customWidth="1"/>
    <col min="5" max="5" width="24.7109375" style="30" customWidth="1"/>
    <col min="6" max="16384" width="9.140625" style="30" customWidth="1"/>
  </cols>
  <sheetData>
    <row r="1" ht="33" customHeight="1"/>
    <row r="2" spans="2:6" ht="79.5" customHeight="1">
      <c r="B2" s="207" t="s">
        <v>125</v>
      </c>
      <c r="C2" s="207"/>
      <c r="D2" s="207"/>
      <c r="E2" s="69"/>
      <c r="F2" s="69"/>
    </row>
    <row r="3" ht="15.75" customHeight="1">
      <c r="D3" s="70"/>
    </row>
    <row r="4" spans="2:6" ht="18" customHeight="1">
      <c r="B4" s="232" t="s">
        <v>65</v>
      </c>
      <c r="C4" s="233"/>
      <c r="D4" s="71" t="s">
        <v>21</v>
      </c>
      <c r="E4" s="72"/>
      <c r="F4" s="72"/>
    </row>
    <row r="5" spans="2:4" ht="15.75">
      <c r="B5" s="241"/>
      <c r="C5" s="241"/>
      <c r="D5" s="73"/>
    </row>
    <row r="6" spans="2:4" ht="16.5" customHeight="1" thickBot="1">
      <c r="B6" s="74"/>
      <c r="C6" s="74"/>
      <c r="D6" s="57" t="s">
        <v>41</v>
      </c>
    </row>
    <row r="7" spans="2:4" ht="16.5" thickBot="1">
      <c r="B7" s="11" t="s">
        <v>25</v>
      </c>
      <c r="C7" s="12"/>
      <c r="D7" s="13" t="s">
        <v>98</v>
      </c>
    </row>
    <row r="8" spans="2:4" ht="16.5" thickBot="1">
      <c r="B8" s="272" t="s">
        <v>90</v>
      </c>
      <c r="C8" s="273"/>
      <c r="D8" s="14">
        <v>16868544</v>
      </c>
    </row>
    <row r="9" spans="2:4" ht="19.5" customHeight="1" thickBot="1">
      <c r="B9" s="268" t="s">
        <v>26</v>
      </c>
      <c r="C9" s="269"/>
      <c r="D9" s="15">
        <f>SUM(D8:D8)</f>
        <v>16868544</v>
      </c>
    </row>
    <row r="10" spans="2:4" ht="18" customHeight="1">
      <c r="B10" s="49"/>
      <c r="C10" s="50"/>
      <c r="D10" s="123"/>
    </row>
    <row r="11" spans="2:4" ht="16.5" customHeight="1" thickBot="1">
      <c r="B11" s="274" t="s">
        <v>55</v>
      </c>
      <c r="C11" s="274"/>
      <c r="D11" s="10" t="s">
        <v>41</v>
      </c>
    </row>
    <row r="12" spans="2:4" ht="15.75" customHeight="1">
      <c r="B12" s="262" t="s">
        <v>20</v>
      </c>
      <c r="C12" s="264" t="s">
        <v>0</v>
      </c>
      <c r="D12" s="266" t="s">
        <v>98</v>
      </c>
    </row>
    <row r="13" spans="2:4" ht="15.75">
      <c r="B13" s="263"/>
      <c r="C13" s="265"/>
      <c r="D13" s="267"/>
    </row>
    <row r="14" spans="2:4" ht="18">
      <c r="B14" s="124">
        <v>41</v>
      </c>
      <c r="C14" s="19" t="s">
        <v>60</v>
      </c>
      <c r="D14" s="20">
        <f>D15+D17+D19</f>
        <v>357813</v>
      </c>
    </row>
    <row r="15" spans="2:4" ht="15.75">
      <c r="B15" s="125">
        <v>411</v>
      </c>
      <c r="C15" s="22" t="s">
        <v>1</v>
      </c>
      <c r="D15" s="23">
        <f>SUM(D16)</f>
        <v>299410</v>
      </c>
    </row>
    <row r="16" spans="2:4" ht="15.75">
      <c r="B16" s="126">
        <v>4111</v>
      </c>
      <c r="C16" s="25" t="s">
        <v>2</v>
      </c>
      <c r="D16" s="26">
        <v>299410</v>
      </c>
    </row>
    <row r="17" spans="2:4" ht="15.75">
      <c r="B17" s="127">
        <v>412</v>
      </c>
      <c r="C17" s="28" t="s">
        <v>61</v>
      </c>
      <c r="D17" s="29">
        <f>SUM(D18)</f>
        <v>9000</v>
      </c>
    </row>
    <row r="18" spans="2:4" ht="15.75">
      <c r="B18" s="126">
        <v>4121</v>
      </c>
      <c r="C18" s="25" t="s">
        <v>61</v>
      </c>
      <c r="D18" s="26">
        <v>9000</v>
      </c>
    </row>
    <row r="19" spans="2:4" ht="15.75">
      <c r="B19" s="125">
        <v>413</v>
      </c>
      <c r="C19" s="22" t="s">
        <v>3</v>
      </c>
      <c r="D19" s="23">
        <f>SUM(D20:D20)</f>
        <v>49403</v>
      </c>
    </row>
    <row r="20" spans="2:4" ht="15.75">
      <c r="B20" s="126">
        <v>4131</v>
      </c>
      <c r="C20" s="25" t="s">
        <v>4</v>
      </c>
      <c r="D20" s="26">
        <v>49403</v>
      </c>
    </row>
    <row r="21" spans="2:4" ht="18">
      <c r="B21" s="124">
        <v>42</v>
      </c>
      <c r="C21" s="19" t="s">
        <v>5</v>
      </c>
      <c r="D21" s="20">
        <f>D22+D25+D28</f>
        <v>86350</v>
      </c>
    </row>
    <row r="22" spans="2:4" ht="15.75">
      <c r="B22" s="125">
        <v>421</v>
      </c>
      <c r="C22" s="22" t="s">
        <v>29</v>
      </c>
      <c r="D22" s="23">
        <f>SUM(D23:D24)</f>
        <v>13620</v>
      </c>
    </row>
    <row r="23" spans="2:4" ht="15.75">
      <c r="B23" s="95">
        <v>4211</v>
      </c>
      <c r="C23" s="36" t="s">
        <v>6</v>
      </c>
      <c r="D23" s="33">
        <v>4980</v>
      </c>
    </row>
    <row r="24" spans="2:4" ht="15.75">
      <c r="B24" s="95">
        <v>4212</v>
      </c>
      <c r="C24" s="36" t="s">
        <v>78</v>
      </c>
      <c r="D24" s="33">
        <v>8640</v>
      </c>
    </row>
    <row r="25" spans="2:4" ht="31.5">
      <c r="B25" s="125">
        <v>422</v>
      </c>
      <c r="C25" s="22" t="s">
        <v>74</v>
      </c>
      <c r="D25" s="23">
        <f>D26+D27</f>
        <v>63430</v>
      </c>
    </row>
    <row r="26" spans="2:4" ht="15.75">
      <c r="B26" s="95">
        <v>4221</v>
      </c>
      <c r="C26" s="36" t="s">
        <v>32</v>
      </c>
      <c r="D26" s="33">
        <v>25840</v>
      </c>
    </row>
    <row r="27" spans="2:4" ht="15.75">
      <c r="B27" s="95">
        <v>4222</v>
      </c>
      <c r="C27" s="36" t="s">
        <v>30</v>
      </c>
      <c r="D27" s="33">
        <v>37590</v>
      </c>
    </row>
    <row r="28" spans="2:4" ht="15.75">
      <c r="B28" s="125">
        <v>424</v>
      </c>
      <c r="C28" s="22" t="s">
        <v>31</v>
      </c>
      <c r="D28" s="23">
        <f>SUM(D29)</f>
        <v>9300</v>
      </c>
    </row>
    <row r="29" spans="2:4" ht="15.75">
      <c r="B29" s="95">
        <v>4241</v>
      </c>
      <c r="C29" s="36" t="s">
        <v>136</v>
      </c>
      <c r="D29" s="33">
        <v>9300</v>
      </c>
    </row>
    <row r="30" spans="2:4" ht="18">
      <c r="B30" s="124">
        <v>43</v>
      </c>
      <c r="C30" s="19" t="s">
        <v>28</v>
      </c>
      <c r="D30" s="20">
        <f>D31</f>
        <v>3381</v>
      </c>
    </row>
    <row r="31" spans="2:4" ht="15.75">
      <c r="B31" s="125">
        <v>431</v>
      </c>
      <c r="C31" s="22" t="s">
        <v>34</v>
      </c>
      <c r="D31" s="23">
        <f>SUM(D32)</f>
        <v>3381</v>
      </c>
    </row>
    <row r="32" spans="2:4" ht="15.75">
      <c r="B32" s="128">
        <v>4311</v>
      </c>
      <c r="C32" s="129" t="s">
        <v>34</v>
      </c>
      <c r="D32" s="41">
        <v>3381</v>
      </c>
    </row>
    <row r="33" spans="2:4" ht="18">
      <c r="B33" s="124">
        <v>45</v>
      </c>
      <c r="C33" s="19" t="s">
        <v>87</v>
      </c>
      <c r="D33" s="20">
        <f>D34</f>
        <v>16421000</v>
      </c>
    </row>
    <row r="34" spans="2:4" ht="15.75">
      <c r="B34" s="125">
        <v>451</v>
      </c>
      <c r="C34" s="22" t="s">
        <v>88</v>
      </c>
      <c r="D34" s="23">
        <f>D35</f>
        <v>16421000</v>
      </c>
    </row>
    <row r="35" spans="2:4" ht="16.5" thickBot="1">
      <c r="B35" s="95">
        <v>4513</v>
      </c>
      <c r="C35" s="130" t="s">
        <v>89</v>
      </c>
      <c r="D35" s="33">
        <v>16421000</v>
      </c>
    </row>
    <row r="36" spans="2:4" ht="19.5" customHeight="1" thickBot="1">
      <c r="B36" s="268" t="s">
        <v>27</v>
      </c>
      <c r="C36" s="269"/>
      <c r="D36" s="48">
        <f>D14+D21+D30+D33</f>
        <v>16868544</v>
      </c>
    </row>
    <row r="37" spans="2:4" ht="18.75" thickBot="1">
      <c r="B37" s="49"/>
      <c r="C37" s="50"/>
      <c r="D37" s="51"/>
    </row>
    <row r="38" spans="2:4" ht="39.75" customHeight="1" thickBot="1">
      <c r="B38" s="270" t="s">
        <v>113</v>
      </c>
      <c r="C38" s="271"/>
      <c r="D38" s="53">
        <f>17489000+309449-D36</f>
        <v>929905</v>
      </c>
    </row>
    <row r="39" spans="2:4" ht="16.5" customHeight="1">
      <c r="B39" s="88"/>
      <c r="C39" s="88"/>
      <c r="D39" s="89"/>
    </row>
    <row r="40" spans="2:4" ht="18">
      <c r="B40" s="227" t="s">
        <v>146</v>
      </c>
      <c r="C40" s="227"/>
      <c r="D40" s="90"/>
    </row>
    <row r="41" spans="2:4" ht="30" customHeight="1">
      <c r="B41" s="91" t="s">
        <v>147</v>
      </c>
      <c r="C41" s="92"/>
      <c r="D41" s="93" t="s">
        <v>64</v>
      </c>
    </row>
    <row r="42" ht="15.75">
      <c r="B42" s="91" t="s">
        <v>148</v>
      </c>
    </row>
  </sheetData>
  <sheetProtection password="9BB3" sheet="1"/>
  <mergeCells count="12">
    <mergeCell ref="B40:C40"/>
    <mergeCell ref="B36:C36"/>
    <mergeCell ref="B38:C38"/>
    <mergeCell ref="B8:C8"/>
    <mergeCell ref="B9:C9"/>
    <mergeCell ref="B11:C11"/>
    <mergeCell ref="B12:B13"/>
    <mergeCell ref="C12:C13"/>
    <mergeCell ref="D12:D13"/>
    <mergeCell ref="B2:D2"/>
    <mergeCell ref="B4:C4"/>
    <mergeCell ref="B5:C5"/>
  </mergeCells>
  <printOptions/>
  <pageMargins left="0.5905511811023623" right="0.5905511811023623" top="1.31" bottom="0.6692913385826772" header="0.4724409448818898" footer="0.2755905511811024"/>
  <pageSetup horizontalDpi="600" verticalDpi="600" orientation="portrait" paperSize="9" scale="49" r:id="rId2"/>
  <headerFooter alignWithMargins="0">
    <oddHeader>&amp;L&amp;G
Hrvatska zaklada za znanost
Ilica 24, 10000 Zagreb&amp;R
</oddHeader>
    <oddFooter>&amp;CIlica 24, 10000 Zagreb / Vladimira Nazora 2, 51410 Opatija 
tel 051 228-690 faks 051 271-085 www.hrzz.hr MB 1626841 OIB 88776522763 IBAN HR3323600001101575620&amp;RFinancijski plan za 2021. godinu str. &amp;P od &amp;N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E55"/>
  <sheetViews>
    <sheetView zoomScale="80" zoomScaleNormal="80" workbookViewId="0" topLeftCell="A1">
      <selection activeCell="A1" sqref="A1"/>
    </sheetView>
  </sheetViews>
  <sheetFormatPr defaultColWidth="9.140625" defaultRowHeight="12.75"/>
  <cols>
    <col min="1" max="1" width="24.7109375" style="2" customWidth="1"/>
    <col min="2" max="2" width="13.140625" style="2" customWidth="1"/>
    <col min="3" max="3" width="66.421875" style="2" customWidth="1"/>
    <col min="4" max="4" width="43.57421875" style="3" customWidth="1"/>
    <col min="5" max="5" width="24.7109375" style="2" customWidth="1"/>
    <col min="6" max="6" width="0.13671875" style="2" customWidth="1"/>
    <col min="7" max="16384" width="9.140625" style="2" customWidth="1"/>
  </cols>
  <sheetData>
    <row r="1" ht="33" customHeight="1"/>
    <row r="2" spans="2:5" ht="79.5" customHeight="1">
      <c r="B2" s="277" t="s">
        <v>124</v>
      </c>
      <c r="C2" s="277"/>
      <c r="D2" s="277"/>
      <c r="E2" s="4"/>
    </row>
    <row r="3" ht="15.75" customHeight="1">
      <c r="D3" s="5"/>
    </row>
    <row r="4" spans="2:5" ht="18" customHeight="1">
      <c r="B4" s="278" t="s">
        <v>65</v>
      </c>
      <c r="C4" s="279"/>
      <c r="D4" s="6" t="s">
        <v>21</v>
      </c>
      <c r="E4" s="7"/>
    </row>
    <row r="5" spans="2:4" ht="15.75">
      <c r="B5" s="280"/>
      <c r="C5" s="280"/>
      <c r="D5" s="8"/>
    </row>
    <row r="6" spans="2:4" ht="16.5" customHeight="1" thickBot="1">
      <c r="B6" s="9"/>
      <c r="C6" s="9"/>
      <c r="D6" s="10" t="s">
        <v>41</v>
      </c>
    </row>
    <row r="7" spans="2:4" ht="16.5" thickBot="1">
      <c r="B7" s="11" t="s">
        <v>25</v>
      </c>
      <c r="C7" s="12"/>
      <c r="D7" s="13" t="s">
        <v>98</v>
      </c>
    </row>
    <row r="8" spans="2:4" ht="16.5" customHeight="1" thickBot="1">
      <c r="B8" s="272" t="s">
        <v>90</v>
      </c>
      <c r="C8" s="273"/>
      <c r="D8" s="14">
        <v>21176234</v>
      </c>
    </row>
    <row r="9" spans="2:4" ht="19.5" customHeight="1" thickBot="1">
      <c r="B9" s="268" t="s">
        <v>26</v>
      </c>
      <c r="C9" s="269"/>
      <c r="D9" s="15">
        <f>SUM(D8:D8)</f>
        <v>21176234</v>
      </c>
    </row>
    <row r="10" spans="2:4" ht="15.75">
      <c r="B10" s="16"/>
      <c r="C10" s="16"/>
      <c r="D10" s="17"/>
    </row>
    <row r="11" spans="2:4" ht="16.5" customHeight="1" thickBot="1">
      <c r="B11" s="274" t="s">
        <v>55</v>
      </c>
      <c r="C11" s="274"/>
      <c r="D11" s="10" t="s">
        <v>41</v>
      </c>
    </row>
    <row r="12" spans="2:4" ht="15.75">
      <c r="B12" s="282" t="s">
        <v>20</v>
      </c>
      <c r="C12" s="264" t="s">
        <v>0</v>
      </c>
      <c r="D12" s="266" t="s">
        <v>98</v>
      </c>
    </row>
    <row r="13" spans="2:4" ht="15.75">
      <c r="B13" s="283"/>
      <c r="C13" s="265"/>
      <c r="D13" s="267"/>
    </row>
    <row r="14" spans="2:4" ht="18">
      <c r="B14" s="18">
        <v>41</v>
      </c>
      <c r="C14" s="19" t="s">
        <v>60</v>
      </c>
      <c r="D14" s="20">
        <f>D15+D17+D19</f>
        <v>326545</v>
      </c>
    </row>
    <row r="15" spans="2:4" ht="15.75">
      <c r="B15" s="21">
        <v>411</v>
      </c>
      <c r="C15" s="22" t="s">
        <v>1</v>
      </c>
      <c r="D15" s="23">
        <f>SUM(D16)</f>
        <v>275146</v>
      </c>
    </row>
    <row r="16" spans="2:4" ht="15.75">
      <c r="B16" s="24">
        <v>4111</v>
      </c>
      <c r="C16" s="25" t="s">
        <v>2</v>
      </c>
      <c r="D16" s="26">
        <v>275146</v>
      </c>
    </row>
    <row r="17" spans="2:4" ht="15.75">
      <c r="B17" s="27">
        <v>412</v>
      </c>
      <c r="C17" s="28" t="s">
        <v>61</v>
      </c>
      <c r="D17" s="29">
        <f>SUM(D18)</f>
        <v>6000</v>
      </c>
    </row>
    <row r="18" spans="2:4" ht="15.75">
      <c r="B18" s="24">
        <v>4121</v>
      </c>
      <c r="C18" s="25" t="s">
        <v>61</v>
      </c>
      <c r="D18" s="26">
        <v>6000</v>
      </c>
    </row>
    <row r="19" spans="2:4" ht="15.75">
      <c r="B19" s="21">
        <v>413</v>
      </c>
      <c r="C19" s="22" t="s">
        <v>3</v>
      </c>
      <c r="D19" s="23">
        <f>SUM(D20:D20)</f>
        <v>45399</v>
      </c>
    </row>
    <row r="20" spans="2:4" ht="15.75">
      <c r="B20" s="24">
        <v>4131</v>
      </c>
      <c r="C20" s="25" t="s">
        <v>4</v>
      </c>
      <c r="D20" s="26">
        <v>45399</v>
      </c>
    </row>
    <row r="21" spans="2:4" ht="18">
      <c r="B21" s="18">
        <v>42</v>
      </c>
      <c r="C21" s="19" t="s">
        <v>5</v>
      </c>
      <c r="D21" s="20">
        <f>D22+D25+D27</f>
        <v>130394.73</v>
      </c>
    </row>
    <row r="22" spans="2:4" ht="15.75">
      <c r="B22" s="21">
        <v>421</v>
      </c>
      <c r="C22" s="22" t="s">
        <v>29</v>
      </c>
      <c r="D22" s="23">
        <f>D23+D24</f>
        <v>65440</v>
      </c>
    </row>
    <row r="23" spans="2:5" s="30" customFormat="1" ht="15.75">
      <c r="B23" s="31">
        <v>4211</v>
      </c>
      <c r="C23" s="32" t="s">
        <v>6</v>
      </c>
      <c r="D23" s="33">
        <v>56800</v>
      </c>
      <c r="E23" s="34"/>
    </row>
    <row r="24" spans="2:4" ht="15.75">
      <c r="B24" s="35">
        <v>4212</v>
      </c>
      <c r="C24" s="36" t="s">
        <v>78</v>
      </c>
      <c r="D24" s="33">
        <v>8640</v>
      </c>
    </row>
    <row r="25" spans="2:4" ht="15.75">
      <c r="B25" s="21">
        <v>424</v>
      </c>
      <c r="C25" s="22" t="s">
        <v>31</v>
      </c>
      <c r="D25" s="23">
        <f>D26</f>
        <v>34954.729999999996</v>
      </c>
    </row>
    <row r="26" spans="2:4" ht="15.75">
      <c r="B26" s="35">
        <v>4241</v>
      </c>
      <c r="C26" s="36" t="s">
        <v>32</v>
      </c>
      <c r="D26" s="33">
        <f>1614.52+33340.21</f>
        <v>34954.729999999996</v>
      </c>
    </row>
    <row r="27" spans="2:4" ht="15.75">
      <c r="B27" s="21">
        <v>425</v>
      </c>
      <c r="C27" s="22" t="s">
        <v>11</v>
      </c>
      <c r="D27" s="23">
        <f>SUM(D28:D28)</f>
        <v>30000</v>
      </c>
    </row>
    <row r="28" spans="2:4" ht="15.75">
      <c r="B28" s="35">
        <v>4258</v>
      </c>
      <c r="C28" s="36" t="s">
        <v>33</v>
      </c>
      <c r="D28" s="33">
        <v>30000</v>
      </c>
    </row>
    <row r="29" spans="2:4" ht="18">
      <c r="B29" s="18">
        <v>43</v>
      </c>
      <c r="C29" s="37" t="s">
        <v>28</v>
      </c>
      <c r="D29" s="20">
        <f>D30</f>
        <v>15248.41</v>
      </c>
    </row>
    <row r="30" spans="2:4" ht="15.75">
      <c r="B30" s="21">
        <v>431</v>
      </c>
      <c r="C30" s="38" t="s">
        <v>34</v>
      </c>
      <c r="D30" s="23">
        <f>SUM(D31)</f>
        <v>15248.41</v>
      </c>
    </row>
    <row r="31" spans="2:4" ht="15.75">
      <c r="B31" s="39">
        <v>4311</v>
      </c>
      <c r="C31" s="40" t="s">
        <v>34</v>
      </c>
      <c r="D31" s="41">
        <v>15248.41</v>
      </c>
    </row>
    <row r="32" spans="2:4" ht="18">
      <c r="B32" s="18">
        <v>45</v>
      </c>
      <c r="C32" s="19" t="s">
        <v>87</v>
      </c>
      <c r="D32" s="20">
        <f>SUM(D34)</f>
        <v>20702518</v>
      </c>
    </row>
    <row r="33" spans="2:4" ht="15.75">
      <c r="B33" s="21">
        <v>451</v>
      </c>
      <c r="C33" s="22" t="s">
        <v>88</v>
      </c>
      <c r="D33" s="23">
        <f>D34</f>
        <v>20702518</v>
      </c>
    </row>
    <row r="34" spans="2:4" ht="15.75">
      <c r="B34" s="35">
        <v>4513</v>
      </c>
      <c r="C34" s="36" t="s">
        <v>89</v>
      </c>
      <c r="D34" s="33">
        <v>20702518</v>
      </c>
    </row>
    <row r="35" spans="2:4" s="30" customFormat="1" ht="19.5" customHeight="1">
      <c r="B35" s="42">
        <v>46</v>
      </c>
      <c r="C35" s="43" t="s">
        <v>39</v>
      </c>
      <c r="D35" s="20">
        <f>D36</f>
        <v>1527.74</v>
      </c>
    </row>
    <row r="36" spans="2:4" s="30" customFormat="1" ht="18.75" customHeight="1">
      <c r="B36" s="44">
        <v>462</v>
      </c>
      <c r="C36" s="45" t="s">
        <v>80</v>
      </c>
      <c r="D36" s="23">
        <f>D37</f>
        <v>1527.74</v>
      </c>
    </row>
    <row r="37" spans="2:4" s="30" customFormat="1" ht="30.75" thickBot="1">
      <c r="B37" s="46">
        <v>4621</v>
      </c>
      <c r="C37" s="47" t="s">
        <v>58</v>
      </c>
      <c r="D37" s="41">
        <v>1527.74</v>
      </c>
    </row>
    <row r="38" spans="2:4" ht="19.5" customHeight="1" thickBot="1">
      <c r="B38" s="268" t="s">
        <v>27</v>
      </c>
      <c r="C38" s="281"/>
      <c r="D38" s="48">
        <f>D14+D21+D29+D32+D35</f>
        <v>21176233.88</v>
      </c>
    </row>
    <row r="39" spans="2:4" ht="18.75" thickBot="1">
      <c r="B39" s="49"/>
      <c r="C39" s="50"/>
      <c r="D39" s="51"/>
    </row>
    <row r="40" spans="2:4" ht="39.75" customHeight="1" thickBot="1">
      <c r="B40" s="270" t="s">
        <v>135</v>
      </c>
      <c r="C40" s="271"/>
      <c r="D40" s="53">
        <f>21235693+12877-D38</f>
        <v>72336.12000000104</v>
      </c>
    </row>
    <row r="41" spans="2:4" ht="19.5" customHeight="1" thickBot="1">
      <c r="B41" s="275" t="s">
        <v>140</v>
      </c>
      <c r="C41" s="276"/>
      <c r="D41" s="52">
        <f>-16215143.06</f>
        <v>-16215143.06</v>
      </c>
    </row>
    <row r="42" spans="2:4" s="30" customFormat="1" ht="15.75" customHeight="1">
      <c r="B42" s="2"/>
      <c r="C42" s="2"/>
      <c r="D42" s="56"/>
    </row>
    <row r="43" spans="2:4" s="30" customFormat="1" ht="15.75" customHeight="1">
      <c r="B43" s="2"/>
      <c r="C43" s="2"/>
      <c r="D43" s="168"/>
    </row>
    <row r="44" spans="2:4" s="30" customFormat="1" ht="16.5" customHeight="1" thickBot="1">
      <c r="B44" s="223" t="s">
        <v>66</v>
      </c>
      <c r="C44" s="223"/>
      <c r="D44" s="57" t="s">
        <v>41</v>
      </c>
    </row>
    <row r="45" spans="2:4" s="30" customFormat="1" ht="15.75" customHeight="1">
      <c r="B45" s="245" t="s">
        <v>53</v>
      </c>
      <c r="C45" s="247" t="s">
        <v>0</v>
      </c>
      <c r="D45" s="214" t="s">
        <v>98</v>
      </c>
    </row>
    <row r="46" spans="2:4" s="30" customFormat="1" ht="16.5" thickBot="1">
      <c r="B46" s="251"/>
      <c r="C46" s="252"/>
      <c r="D46" s="215"/>
    </row>
    <row r="47" spans="2:4" s="30" customFormat="1" ht="18">
      <c r="B47" s="58" t="s">
        <v>46</v>
      </c>
      <c r="C47" s="59" t="s">
        <v>47</v>
      </c>
      <c r="D47" s="60">
        <f>D48</f>
        <v>20000</v>
      </c>
    </row>
    <row r="48" spans="2:4" s="30" customFormat="1" ht="16.5" thickBot="1">
      <c r="B48" s="61" t="s">
        <v>40</v>
      </c>
      <c r="C48" s="47" t="s">
        <v>52</v>
      </c>
      <c r="D48" s="62">
        <v>20000</v>
      </c>
    </row>
    <row r="49" spans="2:4" ht="19.5" customHeight="1" thickBot="1">
      <c r="B49" s="230" t="s">
        <v>54</v>
      </c>
      <c r="C49" s="231"/>
      <c r="D49" s="63">
        <f>D47</f>
        <v>20000</v>
      </c>
    </row>
    <row r="50" spans="2:4" ht="18">
      <c r="B50" s="64"/>
      <c r="C50" s="65"/>
      <c r="D50" s="66"/>
    </row>
    <row r="51" spans="2:4" ht="18">
      <c r="B51" s="227" t="s">
        <v>146</v>
      </c>
      <c r="C51" s="227"/>
      <c r="D51" s="51"/>
    </row>
    <row r="52" spans="2:4" ht="30" customHeight="1">
      <c r="B52" s="91" t="s">
        <v>147</v>
      </c>
      <c r="C52" s="92"/>
      <c r="D52" s="67" t="s">
        <v>64</v>
      </c>
    </row>
    <row r="53" spans="2:3" ht="15.75">
      <c r="B53" s="91" t="s">
        <v>148</v>
      </c>
      <c r="C53" s="30"/>
    </row>
    <row r="55" ht="15.75">
      <c r="D55" s="56"/>
    </row>
  </sheetData>
  <sheetProtection password="9BB3" sheet="1"/>
  <mergeCells count="18">
    <mergeCell ref="B2:D2"/>
    <mergeCell ref="B4:C4"/>
    <mergeCell ref="B5:C5"/>
    <mergeCell ref="B38:C38"/>
    <mergeCell ref="B8:C8"/>
    <mergeCell ref="B9:C9"/>
    <mergeCell ref="B11:C11"/>
    <mergeCell ref="B12:B13"/>
    <mergeCell ref="C12:C13"/>
    <mergeCell ref="B45:B46"/>
    <mergeCell ref="C45:C46"/>
    <mergeCell ref="D45:D46"/>
    <mergeCell ref="B49:C49"/>
    <mergeCell ref="B51:C51"/>
    <mergeCell ref="D12:D13"/>
    <mergeCell ref="B41:C41"/>
    <mergeCell ref="B40:C40"/>
    <mergeCell ref="B44:C44"/>
  </mergeCells>
  <printOptions/>
  <pageMargins left="0.5905511811023623" right="0.5905511811023623" top="1.31" bottom="0.6692913385826772" header="0.4724409448818898" footer="0.2755905511811024"/>
  <pageSetup horizontalDpi="600" verticalDpi="600" orientation="portrait" paperSize="9" scale="49" r:id="rId2"/>
  <headerFooter alignWithMargins="0">
    <oddHeader>&amp;L&amp;G
Hrvatska zaklada za znanost
Ilica 24, 10000 Zagreb&amp;R
</oddHeader>
    <oddFooter>&amp;CIlica 24, 10000 Zagreb / Vladimira Nazora 2, 51410 Opatija 
tel 051 228-690 faks 051 271-085 www.hrzz.hr MB 1626841 OIB 88776522763 IBAN HR3323600001101575620&amp;RFinancijski plan za 2021. godinu str. &amp;P od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Olja Černeka</cp:lastModifiedBy>
  <cp:lastPrinted>2021-05-21T10:50:43Z</cp:lastPrinted>
  <dcterms:created xsi:type="dcterms:W3CDTF">1996-10-14T23:33:28Z</dcterms:created>
  <dcterms:modified xsi:type="dcterms:W3CDTF">2021-05-28T12:01:17Z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0x01010024FDFCB8F6C9F445A36D5BA230A7C2E8</vt:lpwstr>
  </property>
</Properties>
</file>