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20730" windowHeight="6270" tabRatio="790" activeTab="0"/>
  </bookViews>
  <sheets>
    <sheet name="FP prihodi 2016." sheetId="1" r:id="rId1"/>
    <sheet name="FP rashodi 2016." sheetId="2" r:id="rId2"/>
    <sheet name="Plan DI 2016." sheetId="3" r:id="rId3"/>
    <sheet name="Rashodi 2016. HRZZ" sheetId="4" r:id="rId4"/>
    <sheet name="Rashodi 2016. UKF" sheetId="5" r:id="rId5"/>
    <sheet name="Rashodi 2016. Fond" sheetId="6" r:id="rId6"/>
    <sheet name="Rashodi 2016. COFUND" sheetId="7" r:id="rId7"/>
    <sheet name="Rashodi 2016. GIEREE" sheetId="8" r:id="rId8"/>
    <sheet name="Rashodi 2016. TENURE TRACK" sheetId="9" r:id="rId9"/>
    <sheet name="Rashodi 2016. HR-CH" sheetId="10" r:id="rId10"/>
  </sheets>
  <definedNames>
    <definedName name="_xlnm.Print_Area" localSheetId="0">'FP prihodi 2016.'!$A$1:$G$45</definedName>
    <definedName name="_xlnm.Print_Area" localSheetId="1">'FP rashodi 2016.'!$A$1:$E$74</definedName>
    <definedName name="_xlnm.Print_Area" localSheetId="2">'Plan DI 2016.'!$A$1:$E$22</definedName>
    <definedName name="_xlnm.Print_Area" localSheetId="6">'Rashodi 2016. COFUND'!$A$1:$E$44</definedName>
    <definedName name="_xlnm.Print_Area" localSheetId="5">'Rashodi 2016. Fond'!$A$1:$E$23</definedName>
    <definedName name="_xlnm.Print_Area" localSheetId="7">'Rashodi 2016. GIEREE'!$A$1:$E$44</definedName>
    <definedName name="_xlnm.Print_Area" localSheetId="9">'Rashodi 2016. HR-CH'!$A$1:$E$39</definedName>
    <definedName name="_xlnm.Print_Area" localSheetId="3">'Rashodi 2016. HRZZ'!$A$1:$E$88</definedName>
    <definedName name="_xlnm.Print_Area" localSheetId="8">'Rashodi 2016. TENURE TRACK'!$A$1:$E$47</definedName>
    <definedName name="_xlnm.Print_Area" localSheetId="4">'Rashodi 2016. UKF'!$A$1:$E$32</definedName>
    <definedName name="_xlnm.Print_Titles" localSheetId="1">'FP rashodi 2016.'!$17:$19</definedName>
  </definedNames>
  <calcPr fullCalcOnLoad="1"/>
</workbook>
</file>

<file path=xl/sharedStrings.xml><?xml version="1.0" encoding="utf-8"?>
<sst xmlns="http://schemas.openxmlformats.org/spreadsheetml/2006/main" count="455" uniqueCount="129">
  <si>
    <t>Ukupno (po izvorima)</t>
  </si>
  <si>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</si>
  <si>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</si>
  <si>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</si>
  <si>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</si>
  <si>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</si>
  <si>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</si>
  <si>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</si>
  <si>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</si>
  <si>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</si>
  <si>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</si>
  <si>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</si>
  <si>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</si>
  <si>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</si>
  <si>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</si>
  <si>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</si>
  <si>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</si>
  <si>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</si>
  <si>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</si>
  <si>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</si>
  <si>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</si>
  <si>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</si>
  <si>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</si>
  <si>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</si>
  <si>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</si>
  <si>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</si>
  <si>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</si>
  <si>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</si>
  <si>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</si>
  <si>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</si>
  <si>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</si>
  <si>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</si>
  <si>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</si>
  <si>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</si>
  <si>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</si>
  <si>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</si>
  <si>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Zdravstvene usluge</t>
  </si>
  <si>
    <t>Računalne usluge</t>
  </si>
  <si>
    <t>Ostali materijalni rashodi</t>
  </si>
  <si>
    <t>Amortizacija</t>
  </si>
  <si>
    <t>Reprezentacija</t>
  </si>
  <si>
    <t>Članarine</t>
  </si>
  <si>
    <t>Kotizacije</t>
  </si>
  <si>
    <t>Financijski rashodi</t>
  </si>
  <si>
    <t>Negativne tečajne razlike</t>
  </si>
  <si>
    <t>Ostali rashodi</t>
  </si>
  <si>
    <t>Naknade članovima u predstavničkim i izvršnim tijelima i povjerenstvima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</si>
  <si>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</si>
  <si>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</si>
  <si>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</si>
  <si>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</si>
  <si>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</si>
  <si>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</si>
  <si>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</si>
  <si>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</si>
  <si>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</si>
  <si>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</si>
  <si>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</si>
  <si>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</si>
  <si>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</si>
  <si>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</si>
  <si>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</si>
  <si>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</si>
  <si>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</si>
  <si>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</si>
  <si>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 xml:space="preserve">Prihodi  iz proračuna </t>
  </si>
  <si>
    <t>Prihodi iz proračuna</t>
  </si>
  <si>
    <t>Ukupno preneseni višak prihoda iz prethodnih godina</t>
  </si>
  <si>
    <t>predsjednik Upravnog odbora</t>
  </si>
  <si>
    <t>akademik Dario Vretenar</t>
  </si>
  <si>
    <t>0123</t>
  </si>
  <si>
    <t>Licencije</t>
  </si>
  <si>
    <t>0124</t>
  </si>
  <si>
    <t>Ostala prava - ulaganja u tuđu imovinu radi prava korištenja</t>
  </si>
  <si>
    <t>Zatezne kamate</t>
  </si>
  <si>
    <t>Neotpisana vrijednost i drugi rashodi otuđene i rashodovane dugotrajne imovine</t>
  </si>
  <si>
    <t>Rashodi za otpis potraživanja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</si>
  <si>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</si>
  <si>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</si>
  <si>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</si>
  <si>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</si>
  <si>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</si>
  <si>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Plan 2015.</t>
  </si>
  <si>
    <t>3511 (doktorandi Zaklade)</t>
  </si>
  <si>
    <t>3511 (STP II projekt)</t>
  </si>
  <si>
    <t>3511 (razvoj Zaklade - rad Zaklade)</t>
  </si>
  <si>
    <t>3511 (razvoj Zaklade - projekti Zaklade)</t>
  </si>
  <si>
    <t>3413 (prihodi od osnovne imovine)</t>
  </si>
  <si>
    <t>3413 (prihodi od ostale imovine)</t>
  </si>
  <si>
    <t>predsjednik Upravnog odbora
akademik Dario Vretenar</t>
  </si>
  <si>
    <t xml:space="preserve">Naziv neprofitne organizacije: </t>
  </si>
  <si>
    <t>Oznaka računa iz računskog plana</t>
  </si>
  <si>
    <t>Izvor prihoda</t>
  </si>
  <si>
    <t>2016.</t>
  </si>
  <si>
    <t>3531 Fond za zaštitu okoliša</t>
  </si>
  <si>
    <t>3531 (AbbVie)</t>
  </si>
  <si>
    <t>3511 (Tenure Track Program)</t>
  </si>
  <si>
    <t>3511 (Cro - Swiss Project)</t>
  </si>
  <si>
    <t>3521 (COFUND Project)</t>
  </si>
  <si>
    <t>3415 (prihodi od pozitivnih tečajnih razlika)</t>
  </si>
  <si>
    <t>3612 (prihodi od refundacija)</t>
  </si>
  <si>
    <t>Plan 2016.</t>
  </si>
  <si>
    <t>FINANCIJSKI PLAN - Plan rashoda za 2016. godinu (sve aktivnosti Zaklade)</t>
  </si>
  <si>
    <t>Ostali nespomenuti rashodi (pristojbe)</t>
  </si>
  <si>
    <t>Prihodi iz proračuna (Provođenje projekta STPII - Fond Jedinstvo uz pomoć znanja)</t>
  </si>
  <si>
    <t>Ostale usluge (projekti)</t>
  </si>
  <si>
    <t>FINANCIJSKI PLAN - Plan rashoda za 2016. godinu (aktivnost COFUND)</t>
  </si>
  <si>
    <t>Preostali iznos koji se prenosi za isplate u sljedećim godinama</t>
  </si>
  <si>
    <t>FINANCIJSKI PLAN - Plan rashoda za 2016. godinu (aktivnost GIEREE)</t>
  </si>
  <si>
    <t>PLAN NABAVE DUGOTRAJNE IMOVINE</t>
  </si>
  <si>
    <t>FINANCIJSKI PLAN - Plan rashoda za 2016. godinu (aktivnost TENURE TRACK)</t>
  </si>
  <si>
    <t>FINANCIJSKI PLAN - Plan rashoda za 2016. godinu (aktivnost HRVATSKO - ŠVICARSKA SURADNJA)</t>
  </si>
  <si>
    <t>*U ovom iznosu se nalazi i 10.000.000 kn osnovne imovine koja se ne smije trošiti.</t>
  </si>
  <si>
    <t>Razlika između prihoda i rashoda u 2016. godini koja će biti pripisana ostatku prenesenog viška iz prethodnih godina</t>
  </si>
  <si>
    <t>Prihodi iz proračuna umanjeni za preneseni višak namijenjen za isplatu doktoranada u 2016. godini</t>
  </si>
  <si>
    <t>2. Korištenje prenesenog viška u 2016. godini (doktorandi Zaklade)</t>
  </si>
  <si>
    <t>3. Ostatak prenesenog viška iz prethodnih godina*</t>
  </si>
  <si>
    <t>FINANCIJSKI PLAN - Plan rashoda za 2016. godinu (aktivnosti RAZVOJ ZAKLADE I PROGRAM DOKTORANADA I POSLIJEDOKTORANADA ZAKLADE)</t>
  </si>
  <si>
    <t>4. Razlika između prihoda i rashoda u 2016. godini koja će biti pripisana ostatku prenesenog viška iz prethodnih godina**</t>
  </si>
  <si>
    <t>FINANCIJSKI PLAN - Plan prihoda za 2016. godinu (sve aktivnosti Zaklade)</t>
  </si>
  <si>
    <t>PLAN NABAVE DUGOTRAJNE IMOVINE (sve aktivnosti Zaklade)</t>
  </si>
  <si>
    <t>FINANCIJSKI PLAN - Plan rashoda za 2016. godinu (aktivnost STP II - UKF)</t>
  </si>
  <si>
    <t>FINANCIJSKI PLAN - Plan rashoda za 2016. godinu (aktivnost Fond za zaštitu okoliša i energetsku učinkovitost)</t>
  </si>
  <si>
    <t>Korištenje prenesenog viška u 2016. godini (doktorandi Zaklade)</t>
  </si>
  <si>
    <t>1. Korištenje prenesenog viška u 2016. godini (projekti i rad Zaklade iz kamata osnovne imovine te amortizacija)</t>
  </si>
  <si>
    <t>3521 (GIEREE Project)</t>
  </si>
  <si>
    <t>**U ovom iznosu su uključeni sljedeći iznosi za prijenos u naredne poslovne godine: aktivnost Razvoj Zaklade 10.325.959 kn; aktivnost COFUND 5.750.616 kn; aktivnost GIEREE 172.568 kn; aktivnost TENURE TRACK 39.260.860 kn i aktivnost Hrvatsko-švicarska suradnja 4.488.750 kn.</t>
  </si>
  <si>
    <t>Broj: O-2870-2015</t>
  </si>
  <si>
    <t>Zagreb, 21.12.2015.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</si>
</sst>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57" fillId="0" borderId="12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5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quotePrefix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3" fontId="57" fillId="0" borderId="18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8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9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3" fontId="57" fillId="0" borderId="3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/>
    </xf>
    <xf numFmtId="3" fontId="57" fillId="0" borderId="25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3" fontId="3" fillId="0" borderId="33" xfId="0" applyNumberFormat="1" applyFont="1" applyFill="1" applyBorder="1" applyAlignment="1" quotePrefix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60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1" borderId="34" xfId="0" applyFont="1" applyFill="1" applyBorder="1" applyAlignment="1">
      <alignment horizontal="right"/>
    </xf>
    <xf numFmtId="0" fontId="4" fillId="1" borderId="35" xfId="0" applyFont="1" applyFill="1" applyBorder="1" applyAlignment="1">
      <alignment horizontal="right" vertical="center" wrapText="1"/>
    </xf>
    <xf numFmtId="3" fontId="61" fillId="0" borderId="16" xfId="0" applyNumberFormat="1" applyFont="1" applyFill="1" applyBorder="1" applyAlignment="1">
      <alignment horizontal="right" vertical="center"/>
    </xf>
    <xf numFmtId="3" fontId="59" fillId="0" borderId="16" xfId="0" applyNumberFormat="1" applyFont="1" applyFill="1" applyBorder="1" applyAlignment="1">
      <alignment horizontal="right" vertical="center"/>
    </xf>
    <xf numFmtId="3" fontId="57" fillId="0" borderId="16" xfId="0" applyNumberFormat="1" applyFont="1" applyFill="1" applyBorder="1" applyAlignment="1">
      <alignment horizontal="right"/>
    </xf>
    <xf numFmtId="3" fontId="57" fillId="0" borderId="16" xfId="0" applyNumberFormat="1" applyFont="1" applyFill="1" applyBorder="1" applyAlignment="1">
      <alignment horizontal="right" vertical="center"/>
    </xf>
    <xf numFmtId="3" fontId="57" fillId="0" borderId="17" xfId="0" applyNumberFormat="1" applyFont="1" applyFill="1" applyBorder="1" applyAlignment="1">
      <alignment horizontal="right" vertical="center"/>
    </xf>
    <xf numFmtId="3" fontId="59" fillId="0" borderId="15" xfId="0" applyNumberFormat="1" applyFont="1" applyFill="1" applyBorder="1" applyAlignment="1">
      <alignment horizontal="right" vertical="center"/>
    </xf>
    <xf numFmtId="3" fontId="61" fillId="0" borderId="17" xfId="0" applyNumberFormat="1" applyFont="1" applyFill="1" applyBorder="1" applyAlignment="1">
      <alignment horizontal="right" vertical="center"/>
    </xf>
    <xf numFmtId="3" fontId="61" fillId="0" borderId="2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59" fillId="0" borderId="2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59" fillId="0" borderId="1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/>
    </xf>
    <xf numFmtId="3" fontId="57" fillId="0" borderId="23" xfId="0" applyNumberFormat="1" applyFont="1" applyFill="1" applyBorder="1" applyAlignment="1">
      <alignment horizontal="center"/>
    </xf>
    <xf numFmtId="3" fontId="57" fillId="0" borderId="37" xfId="0" applyNumberFormat="1" applyFont="1" applyFill="1" applyBorder="1" applyAlignment="1">
      <alignment horizontal="center"/>
    </xf>
    <xf numFmtId="0" fontId="4" fillId="1" borderId="35" xfId="0" applyFont="1" applyFill="1" applyBorder="1" applyAlignment="1">
      <alignment horizontal="center" wrapText="1"/>
    </xf>
    <xf numFmtId="0" fontId="4" fillId="1" borderId="38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12" fillId="0" borderId="0" xfId="0" applyFont="1" applyFill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>
      <alignment horizontal="left"/>
    </xf>
    <xf numFmtId="0" fontId="3" fillId="0" borderId="44" xfId="0" applyNumberFormat="1" applyFont="1" applyFill="1" applyBorder="1" applyAlignment="1">
      <alignment horizontal="left" wrapText="1"/>
    </xf>
    <xf numFmtId="0" fontId="3" fillId="0" borderId="45" xfId="0" applyNumberFormat="1" applyFont="1" applyFill="1" applyBorder="1" applyAlignment="1">
      <alignment horizontal="left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quotePrefix="1">
      <alignment horizontal="center" vertical="center" wrapText="1"/>
    </xf>
    <xf numFmtId="3" fontId="3" fillId="0" borderId="46" xfId="0" applyNumberFormat="1" applyFont="1" applyFill="1" applyBorder="1" applyAlignment="1">
      <alignment horizontal="left" wrapText="1"/>
    </xf>
    <xf numFmtId="3" fontId="3" fillId="0" borderId="47" xfId="0" applyNumberFormat="1" applyFont="1" applyFill="1" applyBorder="1" applyAlignment="1">
      <alignment horizontal="left" wrapText="1"/>
    </xf>
    <xf numFmtId="3" fontId="10" fillId="0" borderId="22" xfId="0" applyNumberFormat="1" applyFont="1" applyFill="1" applyBorder="1" applyAlignment="1">
      <alignment horizontal="left" wrapText="1"/>
    </xf>
    <xf numFmtId="3" fontId="10" fillId="0" borderId="37" xfId="0" applyNumberFormat="1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wrapText="1"/>
    </xf>
    <xf numFmtId="3" fontId="3" fillId="0" borderId="37" xfId="0" applyNumberFormat="1" applyFont="1" applyFill="1" applyBorder="1" applyAlignment="1">
      <alignment horizontal="left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 quotePrefix="1">
      <alignment horizontal="center" vertical="center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quotePrefix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quotePrefix="1">
      <alignment horizontal="left"/>
    </xf>
    <xf numFmtId="3" fontId="8" fillId="0" borderId="33" xfId="0" applyNumberFormat="1" applyFont="1" applyFill="1" applyBorder="1" applyAlignment="1">
      <alignment horizontal="left" vertical="center" wrapText="1"/>
    </xf>
    <xf numFmtId="0" fontId="2" fillId="0" borderId="50" xfId="0" applyNumberFormat="1" applyFont="1" applyFill="1" applyBorder="1" applyAlignment="1" quotePrefix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 quotePrefix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left" wrapText="1"/>
    </xf>
    <xf numFmtId="3" fontId="2" fillId="0" borderId="37" xfId="0" applyNumberFormat="1" applyFont="1" applyFill="1" applyBorder="1" applyAlignment="1">
      <alignment horizontal="left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2</xdr:col>
      <xdr:colOff>0</xdr:colOff>
      <xdr:row>10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2190750" y="2276475"/>
          <a:ext cx="330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I44"/>
  <sheetViews>
    <sheetView tabSelected="1" zoomScale="80" zoomScaleNormal="80" workbookViewId="0" topLeftCell="A1">
      <selection activeCell="C12" sqref="C12"/>
    </sheetView>
  </sheetViews>
  <sheetFormatPr defaultColWidth="9.140625" defaultRowHeight="12.75"/>
  <cols>
    <col min="1" max="1" width="32.421875" style="0" customWidth="1"/>
    <col min="2" max="2" width="50.00390625" style="0" customWidth="1"/>
    <col min="3" max="4" width="18.57421875" style="0" customWidth="1"/>
    <col min="5" max="5" width="17.57421875" style="0" customWidth="1"/>
    <col min="6" max="6" width="15.57421875" style="0" customWidth="1"/>
    <col min="7" max="7" width="23.57421875" style="0" customWidth="1"/>
    <col min="8" max="9" width="12.7109375" style="0" customWidth="1"/>
  </cols>
  <sheetData>
    <row r="1" ht="45.75" customHeight="1"/>
    <row r="2" spans="2:9" s="1" customFormat="1" ht="53.25" customHeight="1">
      <c r="B2" s="159" t="s">
        <v>119</v>
      </c>
      <c r="C2" s="159"/>
      <c r="D2" s="159"/>
      <c r="E2" s="159"/>
      <c r="F2" s="159"/>
      <c r="G2" s="8"/>
      <c r="H2" s="8"/>
      <c r="I2" s="8"/>
    </row>
    <row r="3" spans="2:6" s="1" customFormat="1" ht="15.75" customHeight="1">
      <c r="B3" s="157"/>
      <c r="C3" s="158"/>
      <c r="D3" s="158"/>
      <c r="E3" s="158"/>
      <c r="F3" s="158"/>
    </row>
    <row r="4" spans="2:9" s="1" customFormat="1" ht="15.75" customHeight="1">
      <c r="B4" s="90" t="s">
        <v>24</v>
      </c>
      <c r="C4" s="91"/>
      <c r="D4" s="165" t="s">
        <v>23</v>
      </c>
      <c r="E4" s="165"/>
      <c r="F4" s="165"/>
      <c r="G4" s="9"/>
      <c r="H4" s="9"/>
      <c r="I4" s="9"/>
    </row>
    <row r="5" spans="2:9" s="1" customFormat="1" ht="15.75" customHeight="1">
      <c r="B5" s="90"/>
      <c r="C5" s="91"/>
      <c r="D5" s="9"/>
      <c r="E5" s="89"/>
      <c r="F5" s="89"/>
      <c r="G5" s="9"/>
      <c r="H5" s="9"/>
      <c r="I5" s="9"/>
    </row>
    <row r="6" spans="2:9" s="1" customFormat="1" ht="15.75" customHeight="1">
      <c r="B6" s="84"/>
      <c r="C6" s="85"/>
      <c r="D6" s="83"/>
      <c r="E6" s="83"/>
      <c r="F6" s="83"/>
      <c r="G6" s="9"/>
      <c r="H6" s="9"/>
      <c r="I6" s="9"/>
    </row>
    <row r="7" spans="5:6" s="1" customFormat="1" ht="15.75" customHeight="1" thickBot="1">
      <c r="E7" s="166" t="s">
        <v>50</v>
      </c>
      <c r="F7" s="166"/>
    </row>
    <row r="8" spans="2:6" s="1" customFormat="1" ht="16.5" thickBot="1">
      <c r="B8" s="111" t="s">
        <v>92</v>
      </c>
      <c r="C8" s="154" t="s">
        <v>93</v>
      </c>
      <c r="D8" s="155"/>
      <c r="E8" s="155"/>
      <c r="F8" s="156"/>
    </row>
    <row r="9" spans="2:6" s="1" customFormat="1" ht="24.75" customHeight="1">
      <c r="B9" s="112"/>
      <c r="C9" s="149" t="s">
        <v>25</v>
      </c>
      <c r="D9" s="146" t="s">
        <v>65</v>
      </c>
      <c r="E9" s="149" t="s">
        <v>26</v>
      </c>
      <c r="F9" s="149" t="s">
        <v>21</v>
      </c>
    </row>
    <row r="10" spans="2:6" s="1" customFormat="1" ht="24" customHeight="1">
      <c r="B10" s="144" t="s">
        <v>91</v>
      </c>
      <c r="C10" s="150"/>
      <c r="D10" s="147"/>
      <c r="E10" s="150"/>
      <c r="F10" s="150"/>
    </row>
    <row r="11" spans="2:6" s="1" customFormat="1" ht="45" customHeight="1" thickBot="1">
      <c r="B11" s="145"/>
      <c r="C11" s="151"/>
      <c r="D11" s="148"/>
      <c r="E11" s="151"/>
      <c r="F11" s="151"/>
    </row>
    <row r="12" spans="2:6" s="1" customFormat="1" ht="30" customHeight="1">
      <c r="B12" s="30" t="s">
        <v>87</v>
      </c>
      <c r="C12" s="92">
        <v>120000</v>
      </c>
      <c r="D12" s="11"/>
      <c r="E12" s="12"/>
      <c r="F12" s="93"/>
    </row>
    <row r="13" spans="2:6" s="1" customFormat="1" ht="30" customHeight="1">
      <c r="B13" s="30" t="s">
        <v>88</v>
      </c>
      <c r="C13" s="31">
        <v>275000</v>
      </c>
      <c r="D13" s="35"/>
      <c r="E13" s="35"/>
      <c r="F13" s="94"/>
    </row>
    <row r="14" spans="2:6" s="1" customFormat="1" ht="30" customHeight="1">
      <c r="B14" s="30" t="s">
        <v>99</v>
      </c>
      <c r="C14" s="82">
        <v>500</v>
      </c>
      <c r="D14" s="25"/>
      <c r="E14" s="25"/>
      <c r="F14" s="95"/>
    </row>
    <row r="15" spans="2:6" s="1" customFormat="1" ht="30" customHeight="1">
      <c r="B15" s="32" t="s">
        <v>86</v>
      </c>
      <c r="C15" s="96"/>
      <c r="D15" s="14">
        <f>129000000-D16</f>
        <v>121831274</v>
      </c>
      <c r="E15" s="14"/>
      <c r="F15" s="97"/>
    </row>
    <row r="16" spans="2:6" s="1" customFormat="1" ht="30" customHeight="1">
      <c r="B16" s="32" t="s">
        <v>85</v>
      </c>
      <c r="C16" s="96"/>
      <c r="D16" s="14">
        <f>7344226-F25-C12-C14</f>
        <v>7168726</v>
      </c>
      <c r="E16" s="14"/>
      <c r="F16" s="97"/>
    </row>
    <row r="17" spans="2:6" s="1" customFormat="1" ht="30" customHeight="1">
      <c r="B17" s="32" t="s">
        <v>83</v>
      </c>
      <c r="C17" s="96"/>
      <c r="D17" s="14">
        <v>39000000</v>
      </c>
      <c r="E17" s="14"/>
      <c r="F17" s="97"/>
    </row>
    <row r="18" spans="2:6" s="1" customFormat="1" ht="30" customHeight="1">
      <c r="B18" s="32" t="s">
        <v>84</v>
      </c>
      <c r="C18" s="96"/>
      <c r="D18" s="14">
        <v>558000</v>
      </c>
      <c r="E18" s="14"/>
      <c r="F18" s="97"/>
    </row>
    <row r="19" spans="2:6" s="1" customFormat="1" ht="30" customHeight="1">
      <c r="B19" s="33" t="s">
        <v>96</v>
      </c>
      <c r="C19" s="96"/>
      <c r="D19" s="14">
        <v>41040000</v>
      </c>
      <c r="E19" s="14"/>
      <c r="F19" s="97"/>
    </row>
    <row r="20" spans="2:6" s="1" customFormat="1" ht="30" customHeight="1">
      <c r="B20" s="33" t="s">
        <v>97</v>
      </c>
      <c r="C20" s="96"/>
      <c r="D20" s="14">
        <v>4684640</v>
      </c>
      <c r="E20" s="14"/>
      <c r="F20" s="97"/>
    </row>
    <row r="21" spans="2:6" s="1" customFormat="1" ht="30" customHeight="1">
      <c r="B21" s="33" t="s">
        <v>98</v>
      </c>
      <c r="C21" s="96"/>
      <c r="D21" s="14"/>
      <c r="E21" s="14">
        <v>6026496</v>
      </c>
      <c r="F21" s="97"/>
    </row>
    <row r="22" spans="2:6" s="1" customFormat="1" ht="30" customHeight="1">
      <c r="B22" s="33" t="s">
        <v>125</v>
      </c>
      <c r="C22" s="96"/>
      <c r="D22" s="14"/>
      <c r="E22" s="14">
        <v>278968</v>
      </c>
      <c r="F22" s="97"/>
    </row>
    <row r="23" spans="2:6" s="1" customFormat="1" ht="30" customHeight="1">
      <c r="B23" s="33" t="s">
        <v>94</v>
      </c>
      <c r="C23" s="96"/>
      <c r="D23" s="15"/>
      <c r="E23" s="15">
        <v>17000000</v>
      </c>
      <c r="F23" s="97"/>
    </row>
    <row r="24" spans="2:6" s="1" customFormat="1" ht="30" customHeight="1">
      <c r="B24" s="33" t="s">
        <v>95</v>
      </c>
      <c r="C24" s="96"/>
      <c r="D24" s="15"/>
      <c r="E24" s="15">
        <v>50000</v>
      </c>
      <c r="F24" s="97"/>
    </row>
    <row r="25" spans="2:6" s="1" customFormat="1" ht="30" customHeight="1" thickBot="1">
      <c r="B25" s="33" t="s">
        <v>100</v>
      </c>
      <c r="C25" s="96"/>
      <c r="D25" s="13"/>
      <c r="E25" s="14"/>
      <c r="F25" s="29">
        <v>55000</v>
      </c>
    </row>
    <row r="26" spans="2:6" s="1" customFormat="1" ht="17.25" customHeight="1">
      <c r="B26" s="152" t="s">
        <v>0</v>
      </c>
      <c r="C26" s="163">
        <f>SUM(C12:C25)</f>
        <v>395500</v>
      </c>
      <c r="D26" s="163">
        <f>SUM(D12:D25)</f>
        <v>214282640</v>
      </c>
      <c r="E26" s="163">
        <f>SUM(E12:E25)</f>
        <v>23355464</v>
      </c>
      <c r="F26" s="163">
        <f>SUM(F12:F25)</f>
        <v>55000</v>
      </c>
    </row>
    <row r="27" spans="2:6" s="1" customFormat="1" ht="18.75" customHeight="1" thickBot="1">
      <c r="B27" s="153"/>
      <c r="C27" s="164"/>
      <c r="D27" s="164"/>
      <c r="E27" s="164"/>
      <c r="F27" s="164"/>
    </row>
    <row r="28" spans="2:6" s="1" customFormat="1" ht="30" customHeight="1" thickBot="1">
      <c r="B28" s="34" t="s">
        <v>28</v>
      </c>
      <c r="C28" s="160">
        <f>SUM(C26:F27)</f>
        <v>238088604</v>
      </c>
      <c r="D28" s="161"/>
      <c r="E28" s="161"/>
      <c r="F28" s="162"/>
    </row>
    <row r="29" spans="2:6" s="1" customFormat="1" ht="32.25" customHeight="1" thickBot="1">
      <c r="B29" s="36" t="s">
        <v>123</v>
      </c>
      <c r="C29" s="160">
        <v>3072799</v>
      </c>
      <c r="D29" s="161"/>
      <c r="E29" s="161"/>
      <c r="F29" s="162"/>
    </row>
    <row r="30" spans="2:6" s="1" customFormat="1" ht="57" customHeight="1" thickBot="1">
      <c r="B30" s="36" t="s">
        <v>114</v>
      </c>
      <c r="C30" s="160">
        <f>C28-C29</f>
        <v>235015805</v>
      </c>
      <c r="D30" s="161"/>
      <c r="E30" s="161"/>
      <c r="F30" s="162"/>
    </row>
    <row r="31" spans="2:6" s="1" customFormat="1" ht="30" customHeight="1">
      <c r="B31" s="37"/>
      <c r="C31" s="38"/>
      <c r="D31" s="38"/>
      <c r="E31" s="38"/>
      <c r="F31" s="38"/>
    </row>
    <row r="32" spans="2:6" s="1" customFormat="1" ht="15.75" thickBot="1">
      <c r="B32" s="22"/>
      <c r="C32" s="22"/>
      <c r="D32" s="22"/>
      <c r="E32" s="22"/>
      <c r="F32" s="22"/>
    </row>
    <row r="33" spans="2:6" s="1" customFormat="1" ht="30.75" thickBot="1">
      <c r="B33" s="39" t="s">
        <v>67</v>
      </c>
      <c r="C33" s="141">
        <f>114975970+6793753</f>
        <v>121769723</v>
      </c>
      <c r="D33" s="142"/>
      <c r="E33" s="142"/>
      <c r="F33" s="143"/>
    </row>
    <row r="34" spans="2:6" s="1" customFormat="1" ht="49.5" customHeight="1" thickBot="1">
      <c r="B34" s="40" t="s">
        <v>124</v>
      </c>
      <c r="C34" s="141">
        <v>0</v>
      </c>
      <c r="D34" s="142"/>
      <c r="E34" s="142"/>
      <c r="F34" s="143"/>
    </row>
    <row r="35" spans="2:6" s="1" customFormat="1" ht="34.5" customHeight="1" thickBot="1">
      <c r="B35" s="40" t="s">
        <v>115</v>
      </c>
      <c r="C35" s="141">
        <v>3072799</v>
      </c>
      <c r="D35" s="142"/>
      <c r="E35" s="142"/>
      <c r="F35" s="143"/>
    </row>
    <row r="36" spans="2:6" s="1" customFormat="1" ht="30.75" thickBot="1">
      <c r="B36" s="40" t="s">
        <v>116</v>
      </c>
      <c r="C36" s="141">
        <f>C33-C34-C35</f>
        <v>118696924</v>
      </c>
      <c r="D36" s="142"/>
      <c r="E36" s="142"/>
      <c r="F36" s="143"/>
    </row>
    <row r="37" spans="2:6" s="1" customFormat="1" ht="49.5" customHeight="1" thickBot="1">
      <c r="B37" s="40" t="s">
        <v>118</v>
      </c>
      <c r="C37" s="141">
        <v>59998753</v>
      </c>
      <c r="D37" s="142"/>
      <c r="E37" s="142"/>
      <c r="F37" s="143"/>
    </row>
    <row r="38" spans="2:6" s="1" customFormat="1" ht="18" customHeight="1">
      <c r="B38" s="167" t="s">
        <v>112</v>
      </c>
      <c r="C38" s="168"/>
      <c r="D38" s="168"/>
      <c r="E38" s="168"/>
      <c r="F38" s="168"/>
    </row>
    <row r="39" spans="2:6" s="1" customFormat="1" ht="58.5" customHeight="1">
      <c r="B39" s="138" t="s">
        <v>126</v>
      </c>
      <c r="C39" s="139"/>
      <c r="D39" s="139"/>
      <c r="E39" s="139"/>
      <c r="F39" s="139"/>
    </row>
    <row r="40" spans="2:6" s="1" customFormat="1" ht="18" customHeight="1">
      <c r="B40" s="110"/>
      <c r="C40" s="128"/>
      <c r="D40" s="128"/>
      <c r="E40" s="128"/>
      <c r="F40" s="128"/>
    </row>
    <row r="41" s="1" customFormat="1" ht="21" customHeight="1">
      <c r="B41" s="10" t="s">
        <v>127</v>
      </c>
    </row>
    <row r="42" s="22" customFormat="1" ht="24.75" customHeight="1">
      <c r="B42" s="10" t="s">
        <v>128</v>
      </c>
    </row>
    <row r="43" spans="2:6" s="1" customFormat="1" ht="15">
      <c r="B43" s="23"/>
      <c r="E43" s="140" t="s">
        <v>68</v>
      </c>
      <c r="F43" s="140"/>
    </row>
    <row r="44" spans="5:6" s="1" customFormat="1" ht="15">
      <c r="E44" s="140" t="s">
        <v>69</v>
      </c>
      <c r="F44" s="140"/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</sheetData>
  <sheetProtection password="EF44" sheet="1" objects="1" scenarios="1"/>
  <mergeCells count="27">
    <mergeCell ref="B38:F38"/>
    <mergeCell ref="C30:F30"/>
    <mergeCell ref="E26:E27"/>
    <mergeCell ref="F26:F27"/>
    <mergeCell ref="C33:F33"/>
    <mergeCell ref="C29:F29"/>
    <mergeCell ref="C35:F35"/>
    <mergeCell ref="C37:F37"/>
    <mergeCell ref="C36:F36"/>
    <mergeCell ref="C8:F8"/>
    <mergeCell ref="B3:F3"/>
    <mergeCell ref="B2:F2"/>
    <mergeCell ref="C28:F28"/>
    <mergeCell ref="C26:C27"/>
    <mergeCell ref="D26:D27"/>
    <mergeCell ref="D4:F4"/>
    <mergeCell ref="E7:F7"/>
    <mergeCell ref="B39:F39"/>
    <mergeCell ref="E44:F44"/>
    <mergeCell ref="C34:F34"/>
    <mergeCell ref="B10:B11"/>
    <mergeCell ref="D9:D11"/>
    <mergeCell ref="C9:C11"/>
    <mergeCell ref="E9:E11"/>
    <mergeCell ref="F9:F11"/>
    <mergeCell ref="B26:B27"/>
    <mergeCell ref="E43:F4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1" r:id="rId3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M38"/>
  <sheetViews>
    <sheetView zoomScale="80" zoomScaleNormal="80" zoomScalePageLayoutView="0" workbookViewId="0" topLeftCell="A1">
      <selection activeCell="C40" sqref="C40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69" t="s">
        <v>111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18.75" customHeight="1" thickBot="1">
      <c r="B8" s="188" t="s">
        <v>66</v>
      </c>
      <c r="C8" s="189"/>
      <c r="D8" s="27">
        <v>4684640</v>
      </c>
      <c r="E8" s="21"/>
    </row>
    <row r="9" spans="2:5" ht="19.5" customHeight="1" thickBot="1">
      <c r="B9" s="200" t="s">
        <v>29</v>
      </c>
      <c r="C9" s="201"/>
      <c r="D9" s="122">
        <f>SUM(D8:D8)</f>
        <v>4684640</v>
      </c>
      <c r="E9" s="21"/>
    </row>
    <row r="10" spans="2:5" ht="19.5" customHeight="1">
      <c r="B10" s="49"/>
      <c r="C10" s="49"/>
      <c r="D10" s="121"/>
      <c r="E10" s="44"/>
    </row>
    <row r="11" spans="2:9" ht="4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12" customHeight="1">
      <c r="B13" s="185"/>
      <c r="C13" s="187"/>
      <c r="D13" s="175"/>
      <c r="E13" s="52"/>
    </row>
    <row r="14" spans="2:5" s="5" customFormat="1" ht="25.5" customHeight="1">
      <c r="B14" s="56">
        <v>42</v>
      </c>
      <c r="C14" s="57" t="s">
        <v>7</v>
      </c>
      <c r="D14" s="114">
        <f>D15+D17+D21</f>
        <v>195890</v>
      </c>
      <c r="E14" s="55"/>
    </row>
    <row r="15" spans="2:5" s="5" customFormat="1" ht="21.75" customHeight="1">
      <c r="B15" s="56">
        <v>421</v>
      </c>
      <c r="C15" s="57" t="s">
        <v>32</v>
      </c>
      <c r="D15" s="114">
        <f>SUM(D16)</f>
        <v>12920</v>
      </c>
      <c r="E15" s="55"/>
    </row>
    <row r="16" spans="2:5" ht="15.75" customHeight="1">
      <c r="B16" s="60">
        <v>4211</v>
      </c>
      <c r="C16" s="61" t="s">
        <v>8</v>
      </c>
      <c r="D16" s="116">
        <v>12920</v>
      </c>
      <c r="E16" s="21"/>
    </row>
    <row r="17" spans="2:5" ht="15.75" customHeight="1">
      <c r="B17" s="56">
        <v>425</v>
      </c>
      <c r="C17" s="57" t="s">
        <v>13</v>
      </c>
      <c r="D17" s="114">
        <f>SUM(D18:D20)</f>
        <v>181120</v>
      </c>
      <c r="E17" s="21"/>
    </row>
    <row r="18" spans="2:5" ht="15.75" customHeight="1">
      <c r="B18" s="60">
        <v>4251</v>
      </c>
      <c r="C18" s="61" t="s">
        <v>14</v>
      </c>
      <c r="D18" s="116">
        <v>1050</v>
      </c>
      <c r="E18" s="21"/>
    </row>
    <row r="19" spans="2:5" ht="15.75" customHeight="1">
      <c r="B19" s="60">
        <v>4253</v>
      </c>
      <c r="C19" s="61" t="s">
        <v>20</v>
      </c>
      <c r="D19" s="116">
        <v>180000</v>
      </c>
      <c r="E19" s="21"/>
    </row>
    <row r="20" spans="2:5" ht="18" customHeight="1">
      <c r="B20" s="60">
        <v>4254</v>
      </c>
      <c r="C20" s="61" t="s">
        <v>16</v>
      </c>
      <c r="D20" s="116">
        <v>70</v>
      </c>
      <c r="E20" s="21"/>
    </row>
    <row r="21" spans="2:5" ht="15.75" customHeight="1">
      <c r="B21" s="56">
        <v>426</v>
      </c>
      <c r="C21" s="57" t="s">
        <v>10</v>
      </c>
      <c r="D21" s="114">
        <f>SUM(D22:D23)</f>
        <v>1850</v>
      </c>
      <c r="E21" s="21"/>
    </row>
    <row r="22" spans="2:5" s="5" customFormat="1" ht="21.75" customHeight="1">
      <c r="B22" s="62">
        <v>4261</v>
      </c>
      <c r="C22" s="63" t="s">
        <v>11</v>
      </c>
      <c r="D22" s="117">
        <v>1000</v>
      </c>
      <c r="E22" s="55"/>
    </row>
    <row r="23" spans="2:5" ht="15.75" customHeight="1" thickBot="1">
      <c r="B23" s="62">
        <v>4263</v>
      </c>
      <c r="C23" s="63" t="s">
        <v>12</v>
      </c>
      <c r="D23" s="117">
        <v>850</v>
      </c>
      <c r="E23" s="21"/>
    </row>
    <row r="24" spans="2:5" ht="30" customHeight="1" thickBot="1">
      <c r="B24" s="200" t="s">
        <v>30</v>
      </c>
      <c r="C24" s="201"/>
      <c r="D24" s="127">
        <f>D14</f>
        <v>195890</v>
      </c>
      <c r="E24" s="21"/>
    </row>
    <row r="25" spans="2:4" ht="14.25" customHeight="1">
      <c r="B25" s="16"/>
      <c r="C25" s="17"/>
      <c r="D25" s="87"/>
    </row>
    <row r="26" spans="2:9" ht="45" customHeight="1" thickBot="1">
      <c r="B26" s="193" t="s">
        <v>109</v>
      </c>
      <c r="C26" s="193"/>
      <c r="D26" s="102" t="s">
        <v>50</v>
      </c>
      <c r="E26" s="45"/>
      <c r="I26" s="7"/>
    </row>
    <row r="27" spans="2:5" ht="19.5" customHeight="1">
      <c r="B27" s="184" t="s">
        <v>62</v>
      </c>
      <c r="C27" s="186" t="s">
        <v>1</v>
      </c>
      <c r="D27" s="174" t="s">
        <v>101</v>
      </c>
      <c r="E27" s="21"/>
    </row>
    <row r="28" spans="2:4" ht="19.5" customHeight="1" thickBot="1">
      <c r="B28" s="194"/>
      <c r="C28" s="195"/>
      <c r="D28" s="196"/>
    </row>
    <row r="29" spans="2:4" ht="15.75">
      <c r="B29" s="77" t="s">
        <v>57</v>
      </c>
      <c r="C29" s="57" t="s">
        <v>58</v>
      </c>
      <c r="D29" s="64">
        <f>SUM(D30:D30)</f>
        <v>15200</v>
      </c>
    </row>
    <row r="30" spans="2:4" ht="16.5" thickBot="1">
      <c r="B30" s="79" t="s">
        <v>47</v>
      </c>
      <c r="C30" s="69" t="s">
        <v>61</v>
      </c>
      <c r="D30" s="28">
        <v>15200</v>
      </c>
    </row>
    <row r="31" spans="2:4" ht="16.5" thickBot="1">
      <c r="B31" s="200" t="s">
        <v>63</v>
      </c>
      <c r="C31" s="201"/>
      <c r="D31" s="109">
        <f>D29</f>
        <v>15200</v>
      </c>
    </row>
    <row r="33" ht="16.5" thickBot="1"/>
    <row r="34" spans="2:4" ht="23.25" customHeight="1" thickBot="1">
      <c r="B34" s="198" t="s">
        <v>107</v>
      </c>
      <c r="C34" s="199"/>
      <c r="D34" s="122">
        <f>D9-D24-D31</f>
        <v>4473550</v>
      </c>
    </row>
    <row r="37" spans="2:4" ht="32.25" customHeight="1">
      <c r="B37" s="10" t="s">
        <v>127</v>
      </c>
      <c r="C37" s="100"/>
      <c r="D37" s="87"/>
    </row>
    <row r="38" spans="2:4" s="21" customFormat="1" ht="46.5" customHeight="1">
      <c r="B38" s="10" t="s">
        <v>128</v>
      </c>
      <c r="C38" s="101"/>
      <c r="D38" s="99" t="s">
        <v>89</v>
      </c>
    </row>
  </sheetData>
  <sheetProtection password="EF44" sheet="1" objects="1" scenarios="1"/>
  <mergeCells count="16">
    <mergeCell ref="B26:C26"/>
    <mergeCell ref="B27:B28"/>
    <mergeCell ref="C27:C28"/>
    <mergeCell ref="D27:D28"/>
    <mergeCell ref="B31:C31"/>
    <mergeCell ref="B34:C34"/>
    <mergeCell ref="B2:D2"/>
    <mergeCell ref="B4:C4"/>
    <mergeCell ref="B5:C5"/>
    <mergeCell ref="B8:C8"/>
    <mergeCell ref="D12:D13"/>
    <mergeCell ref="B24:C24"/>
    <mergeCell ref="B9:C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  <ignoredErrors>
    <ignoredError sqref="B29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7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8.25" customHeight="1">
      <c r="B2" s="169" t="s">
        <v>102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21.75" customHeight="1">
      <c r="B8" s="170" t="s">
        <v>25</v>
      </c>
      <c r="C8" s="171"/>
      <c r="D8" s="26">
        <v>395500</v>
      </c>
      <c r="E8" s="21"/>
    </row>
    <row r="9" spans="2:5" ht="36" customHeight="1">
      <c r="B9" s="188" t="s">
        <v>114</v>
      </c>
      <c r="C9" s="189"/>
      <c r="D9" s="27">
        <f>168000000-3072799+558000+41040000+4684640</f>
        <v>211209841</v>
      </c>
      <c r="E9" s="21"/>
    </row>
    <row r="10" spans="2:5" ht="18.75" customHeight="1">
      <c r="B10" s="172" t="s">
        <v>26</v>
      </c>
      <c r="C10" s="173"/>
      <c r="D10" s="27">
        <f>50000+17000000+6026496+278968</f>
        <v>23355464</v>
      </c>
      <c r="E10" s="21"/>
    </row>
    <row r="11" spans="2:5" ht="19.5" customHeight="1" thickBot="1">
      <c r="B11" s="176" t="s">
        <v>21</v>
      </c>
      <c r="C11" s="177"/>
      <c r="D11" s="28">
        <v>55000</v>
      </c>
      <c r="E11" s="21"/>
    </row>
    <row r="12" spans="2:5" ht="19.5" customHeight="1" thickBot="1">
      <c r="B12" s="178" t="s">
        <v>28</v>
      </c>
      <c r="C12" s="179"/>
      <c r="D12" s="132">
        <f>SUM(D8:D11)</f>
        <v>235015805</v>
      </c>
      <c r="E12" s="21"/>
    </row>
    <row r="13" spans="2:5" ht="19.5" customHeight="1" thickBot="1">
      <c r="B13" s="49"/>
      <c r="C13" s="49"/>
      <c r="D13" s="121"/>
      <c r="E13" s="44"/>
    </row>
    <row r="14" spans="2:5" ht="37.5" customHeight="1" thickBot="1">
      <c r="B14" s="180" t="s">
        <v>113</v>
      </c>
      <c r="C14" s="181"/>
      <c r="D14" s="48">
        <f>D67-D12</f>
        <v>-59998753</v>
      </c>
      <c r="E14" s="21"/>
    </row>
    <row r="15" spans="2:5" ht="19.5" customHeight="1" thickBot="1">
      <c r="B15" s="182" t="s">
        <v>29</v>
      </c>
      <c r="C15" s="183"/>
      <c r="D15" s="132">
        <f>D12+D14</f>
        <v>175017052</v>
      </c>
      <c r="E15" s="21"/>
    </row>
    <row r="16" spans="2:5" ht="19.5" customHeight="1">
      <c r="B16" s="50"/>
      <c r="C16" s="50"/>
      <c r="D16" s="50"/>
      <c r="E16" s="51"/>
    </row>
    <row r="17" spans="2:9" ht="45" customHeight="1" thickBot="1">
      <c r="B17" s="193" t="s">
        <v>64</v>
      </c>
      <c r="C17" s="193"/>
      <c r="D17" s="102" t="s">
        <v>50</v>
      </c>
      <c r="E17" s="45"/>
      <c r="I17" s="7"/>
    </row>
    <row r="18" spans="2:5" s="3" customFormat="1" ht="20.25" customHeight="1">
      <c r="B18" s="184" t="s">
        <v>22</v>
      </c>
      <c r="C18" s="186" t="s">
        <v>1</v>
      </c>
      <c r="D18" s="174" t="s">
        <v>101</v>
      </c>
      <c r="E18" s="52"/>
    </row>
    <row r="19" spans="2:5" s="3" customFormat="1" ht="27" customHeight="1">
      <c r="B19" s="185"/>
      <c r="C19" s="187"/>
      <c r="D19" s="175"/>
      <c r="E19" s="52"/>
    </row>
    <row r="20" spans="2:5" s="5" customFormat="1" ht="25.5" customHeight="1">
      <c r="B20" s="53">
        <v>41</v>
      </c>
      <c r="C20" s="54" t="s">
        <v>78</v>
      </c>
      <c r="D20" s="113">
        <f>D21+D23+D25</f>
        <v>4154566</v>
      </c>
      <c r="E20" s="55"/>
    </row>
    <row r="21" spans="2:5" s="5" customFormat="1" ht="21.75" customHeight="1">
      <c r="B21" s="56">
        <v>411</v>
      </c>
      <c r="C21" s="57" t="s">
        <v>2</v>
      </c>
      <c r="D21" s="114">
        <f>SUM(D22)</f>
        <v>3456624</v>
      </c>
      <c r="E21" s="55"/>
    </row>
    <row r="22" spans="2:5" ht="15.75" customHeight="1">
      <c r="B22" s="58">
        <v>4111</v>
      </c>
      <c r="C22" s="59" t="s">
        <v>3</v>
      </c>
      <c r="D22" s="115">
        <f>2523953+128500+75000+134437+90570+52833+140068+62253+249010</f>
        <v>3456624</v>
      </c>
      <c r="E22" s="21"/>
    </row>
    <row r="23" spans="2:5" s="5" customFormat="1" ht="21.75" customHeight="1">
      <c r="B23" s="56">
        <v>412</v>
      </c>
      <c r="C23" s="57" t="s">
        <v>79</v>
      </c>
      <c r="D23" s="114">
        <f>SUM(D24)</f>
        <v>81500</v>
      </c>
      <c r="E23" s="55"/>
    </row>
    <row r="24" spans="2:5" ht="15.75" customHeight="1">
      <c r="B24" s="58">
        <v>4121</v>
      </c>
      <c r="C24" s="59" t="s">
        <v>79</v>
      </c>
      <c r="D24" s="115">
        <v>81500</v>
      </c>
      <c r="E24" s="21"/>
    </row>
    <row r="25" spans="2:5" s="5" customFormat="1" ht="21.75" customHeight="1">
      <c r="B25" s="56">
        <v>413</v>
      </c>
      <c r="C25" s="57" t="s">
        <v>4</v>
      </c>
      <c r="D25" s="114">
        <f>SUM(D26:D27)</f>
        <v>616442</v>
      </c>
      <c r="E25" s="55"/>
    </row>
    <row r="26" spans="2:5" ht="15.75" customHeight="1">
      <c r="B26" s="58">
        <v>4131</v>
      </c>
      <c r="C26" s="59" t="s">
        <v>5</v>
      </c>
      <c r="D26" s="115">
        <f>391213+19917+11620+20838+14038+8189+21711+9649+38597</f>
        <v>535772</v>
      </c>
      <c r="E26" s="21"/>
    </row>
    <row r="27" spans="2:5" ht="15.75" customHeight="1">
      <c r="B27" s="58">
        <v>4132</v>
      </c>
      <c r="C27" s="59" t="s">
        <v>6</v>
      </c>
      <c r="D27" s="115">
        <f>53814+11000+2185+1274+2285+1540+900+2381+1058+4233</f>
        <v>80670</v>
      </c>
      <c r="E27" s="21"/>
    </row>
    <row r="28" spans="2:5" s="5" customFormat="1" ht="25.5" customHeight="1">
      <c r="B28" s="53">
        <v>42</v>
      </c>
      <c r="C28" s="54" t="s">
        <v>7</v>
      </c>
      <c r="D28" s="113">
        <f>D29+D33+D36+D39+D49+D53</f>
        <v>170528286</v>
      </c>
      <c r="E28" s="55"/>
    </row>
    <row r="29" spans="2:5" s="5" customFormat="1" ht="21.75" customHeight="1">
      <c r="B29" s="56">
        <v>421</v>
      </c>
      <c r="C29" s="57" t="s">
        <v>32</v>
      </c>
      <c r="D29" s="114">
        <f>SUM(D30:D32)</f>
        <v>507160</v>
      </c>
      <c r="E29" s="55"/>
    </row>
    <row r="30" spans="2:5" ht="15.75" customHeight="1">
      <c r="B30" s="60">
        <v>4211</v>
      </c>
      <c r="C30" s="61" t="s">
        <v>8</v>
      </c>
      <c r="D30" s="116">
        <f>200000+30000+12920+12920+12920</f>
        <v>268760</v>
      </c>
      <c r="E30" s="21"/>
    </row>
    <row r="31" spans="2:5" ht="15.75" customHeight="1">
      <c r="B31" s="60">
        <v>4212</v>
      </c>
      <c r="C31" s="61" t="s">
        <v>9</v>
      </c>
      <c r="D31" s="116">
        <v>125000</v>
      </c>
      <c r="E31" s="21"/>
    </row>
    <row r="32" spans="2:5" ht="15.75" customHeight="1">
      <c r="B32" s="60">
        <v>4213</v>
      </c>
      <c r="C32" s="61" t="s">
        <v>77</v>
      </c>
      <c r="D32" s="116">
        <f>74600+38800</f>
        <v>113400</v>
      </c>
      <c r="E32" s="21"/>
    </row>
    <row r="33" spans="2:5" ht="45.75" customHeight="1">
      <c r="B33" s="56">
        <v>422</v>
      </c>
      <c r="C33" s="57" t="s">
        <v>46</v>
      </c>
      <c r="D33" s="114">
        <f>SUM(D34:D35)</f>
        <v>362320</v>
      </c>
      <c r="E33" s="21"/>
    </row>
    <row r="34" spans="2:5" ht="30.75" customHeight="1">
      <c r="B34" s="60">
        <v>4221</v>
      </c>
      <c r="C34" s="61" t="s">
        <v>46</v>
      </c>
      <c r="D34" s="116">
        <f>157320+51000</f>
        <v>208320</v>
      </c>
      <c r="E34" s="21"/>
    </row>
    <row r="35" spans="2:5" ht="15.75" customHeight="1">
      <c r="B35" s="60">
        <v>4222</v>
      </c>
      <c r="C35" s="61" t="s">
        <v>33</v>
      </c>
      <c r="D35" s="116">
        <f>120000+34000</f>
        <v>154000</v>
      </c>
      <c r="E35" s="21"/>
    </row>
    <row r="36" spans="2:5" s="5" customFormat="1" ht="21.75" customHeight="1">
      <c r="B36" s="56">
        <v>424</v>
      </c>
      <c r="C36" s="57" t="s">
        <v>34</v>
      </c>
      <c r="D36" s="114">
        <f>SUM(D37:D38)</f>
        <v>3195700</v>
      </c>
      <c r="E36" s="55"/>
    </row>
    <row r="37" spans="2:5" ht="15.75" customHeight="1">
      <c r="B37" s="60">
        <v>4241</v>
      </c>
      <c r="C37" s="61" t="s">
        <v>35</v>
      </c>
      <c r="D37" s="116">
        <f>511000+251000+280000+91200+1282500</f>
        <v>2415700</v>
      </c>
      <c r="E37" s="21"/>
    </row>
    <row r="38" spans="2:5" ht="15.75" customHeight="1">
      <c r="B38" s="60">
        <v>4242</v>
      </c>
      <c r="C38" s="61" t="s">
        <v>33</v>
      </c>
      <c r="D38" s="116">
        <f>750000+30000</f>
        <v>780000</v>
      </c>
      <c r="E38" s="21"/>
    </row>
    <row r="39" spans="2:5" s="5" customFormat="1" ht="21.75" customHeight="1">
      <c r="B39" s="56">
        <v>425</v>
      </c>
      <c r="C39" s="57" t="s">
        <v>13</v>
      </c>
      <c r="D39" s="114">
        <f>SUM(D40:D48)</f>
        <v>166129016</v>
      </c>
      <c r="E39" s="55"/>
    </row>
    <row r="40" spans="2:5" ht="15.75" customHeight="1">
      <c r="B40" s="60">
        <v>4251</v>
      </c>
      <c r="C40" s="61" t="s">
        <v>14</v>
      </c>
      <c r="D40" s="116">
        <f>65000+8200+8200+4200+1050</f>
        <v>86650</v>
      </c>
      <c r="E40" s="21"/>
    </row>
    <row r="41" spans="2:5" ht="15.75" customHeight="1">
      <c r="B41" s="60">
        <v>4252</v>
      </c>
      <c r="C41" s="61" t="s">
        <v>15</v>
      </c>
      <c r="D41" s="116">
        <v>14000</v>
      </c>
      <c r="E41" s="21"/>
    </row>
    <row r="42" spans="2:5" ht="15.75" customHeight="1">
      <c r="B42" s="60">
        <v>4253</v>
      </c>
      <c r="C42" s="61" t="s">
        <v>20</v>
      </c>
      <c r="D42" s="116">
        <f>25000+180000+180000</f>
        <v>385000</v>
      </c>
      <c r="E42" s="21"/>
    </row>
    <row r="43" spans="2:5" ht="15.75" customHeight="1">
      <c r="B43" s="60">
        <v>4254</v>
      </c>
      <c r="C43" s="61" t="s">
        <v>16</v>
      </c>
      <c r="D43" s="116">
        <f>11500+280+70</f>
        <v>11850</v>
      </c>
      <c r="E43" s="21"/>
    </row>
    <row r="44" spans="2:5" ht="15.75" customHeight="1">
      <c r="B44" s="60">
        <v>4255</v>
      </c>
      <c r="C44" s="61" t="s">
        <v>17</v>
      </c>
      <c r="D44" s="116">
        <v>106000</v>
      </c>
      <c r="E44" s="21"/>
    </row>
    <row r="45" spans="2:5" ht="15.75" customHeight="1">
      <c r="B45" s="60">
        <v>4256</v>
      </c>
      <c r="C45" s="61" t="s">
        <v>36</v>
      </c>
      <c r="D45" s="116">
        <v>35000</v>
      </c>
      <c r="E45" s="21"/>
    </row>
    <row r="46" spans="2:5" ht="15.75" customHeight="1">
      <c r="B46" s="60">
        <v>4257</v>
      </c>
      <c r="C46" s="61" t="s">
        <v>18</v>
      </c>
      <c r="D46" s="116">
        <v>5000</v>
      </c>
      <c r="E46" s="21"/>
    </row>
    <row r="47" spans="2:5" ht="15.75" customHeight="1">
      <c r="B47" s="62">
        <v>4258</v>
      </c>
      <c r="C47" s="63" t="s">
        <v>37</v>
      </c>
      <c r="D47" s="117">
        <f>560000+77000</f>
        <v>637000</v>
      </c>
      <c r="E47" s="21"/>
    </row>
    <row r="48" spans="2:5" ht="15.75" customHeight="1">
      <c r="B48" s="60">
        <v>4259</v>
      </c>
      <c r="C48" s="61" t="s">
        <v>19</v>
      </c>
      <c r="D48" s="116">
        <f>357000+105698717+42072799+16720000</f>
        <v>164848516</v>
      </c>
      <c r="E48" s="21"/>
    </row>
    <row r="49" spans="2:5" s="5" customFormat="1" ht="21.75" customHeight="1">
      <c r="B49" s="56">
        <v>426</v>
      </c>
      <c r="C49" s="57" t="s">
        <v>10</v>
      </c>
      <c r="D49" s="114">
        <f>SUM(D50:D52)</f>
        <v>171890</v>
      </c>
      <c r="E49" s="55"/>
    </row>
    <row r="50" spans="2:5" ht="15.75" customHeight="1">
      <c r="B50" s="62">
        <v>4261</v>
      </c>
      <c r="C50" s="63" t="s">
        <v>11</v>
      </c>
      <c r="D50" s="117">
        <f>78000+5955+5955+4000+1000</f>
        <v>94910</v>
      </c>
      <c r="E50" s="21"/>
    </row>
    <row r="51" spans="2:5" ht="15.75" customHeight="1">
      <c r="B51" s="62">
        <v>4263</v>
      </c>
      <c r="C51" s="63" t="s">
        <v>12</v>
      </c>
      <c r="D51" s="117">
        <f>55000+5750+5750+3400+850</f>
        <v>70750</v>
      </c>
      <c r="E51" s="21"/>
    </row>
    <row r="52" spans="2:5" ht="15.75" customHeight="1">
      <c r="B52" s="60">
        <v>4264</v>
      </c>
      <c r="C52" s="61" t="s">
        <v>80</v>
      </c>
      <c r="D52" s="116">
        <f>5000+615+615</f>
        <v>6230</v>
      </c>
      <c r="E52" s="21"/>
    </row>
    <row r="53" spans="2:5" s="5" customFormat="1" ht="21.75" customHeight="1">
      <c r="B53" s="65">
        <v>429</v>
      </c>
      <c r="C53" s="66" t="s">
        <v>38</v>
      </c>
      <c r="D53" s="118">
        <f>SUM(D54:D57)</f>
        <v>162200</v>
      </c>
      <c r="E53" s="55"/>
    </row>
    <row r="54" spans="2:5" ht="15.75" customHeight="1">
      <c r="B54" s="62">
        <v>4292</v>
      </c>
      <c r="C54" s="63" t="s">
        <v>40</v>
      </c>
      <c r="D54" s="117">
        <v>50000</v>
      </c>
      <c r="E54" s="21"/>
    </row>
    <row r="55" spans="2:5" ht="15.75" customHeight="1">
      <c r="B55" s="62">
        <v>4293</v>
      </c>
      <c r="C55" s="63" t="s">
        <v>41</v>
      </c>
      <c r="D55" s="117">
        <v>36000</v>
      </c>
      <c r="E55" s="21"/>
    </row>
    <row r="56" spans="2:5" ht="15.75" customHeight="1">
      <c r="B56" s="60">
        <v>4294</v>
      </c>
      <c r="C56" s="61" t="s">
        <v>42</v>
      </c>
      <c r="D56" s="116">
        <f>10000+46200</f>
        <v>56200</v>
      </c>
      <c r="E56" s="21"/>
    </row>
    <row r="57" spans="2:5" ht="15.75" customHeight="1">
      <c r="B57" s="60">
        <v>4295</v>
      </c>
      <c r="C57" s="61" t="s">
        <v>103</v>
      </c>
      <c r="D57" s="116">
        <v>20000</v>
      </c>
      <c r="E57" s="21"/>
    </row>
    <row r="58" spans="2:5" ht="25.5" customHeight="1">
      <c r="B58" s="53">
        <v>43</v>
      </c>
      <c r="C58" s="54" t="s">
        <v>31</v>
      </c>
      <c r="D58" s="113">
        <f>SUM(D59)</f>
        <v>280000</v>
      </c>
      <c r="E58" s="21"/>
    </row>
    <row r="59" spans="2:5" ht="15.75" customHeight="1">
      <c r="B59" s="62">
        <v>4311</v>
      </c>
      <c r="C59" s="69" t="s">
        <v>39</v>
      </c>
      <c r="D59" s="117">
        <v>280000</v>
      </c>
      <c r="E59" s="21"/>
    </row>
    <row r="60" spans="2:5" ht="25.5" customHeight="1">
      <c r="B60" s="67">
        <v>44</v>
      </c>
      <c r="C60" s="68" t="s">
        <v>43</v>
      </c>
      <c r="D60" s="119">
        <f>SUM(D61:D63)</f>
        <v>49100</v>
      </c>
      <c r="E60" s="21"/>
    </row>
    <row r="61" spans="2:5" ht="15.75" customHeight="1">
      <c r="B61" s="62">
        <v>4431</v>
      </c>
      <c r="C61" s="69" t="s">
        <v>81</v>
      </c>
      <c r="D61" s="117">
        <v>36000</v>
      </c>
      <c r="E61" s="21"/>
    </row>
    <row r="62" spans="2:5" ht="15.75" customHeight="1">
      <c r="B62" s="62">
        <v>4432</v>
      </c>
      <c r="C62" s="69" t="s">
        <v>44</v>
      </c>
      <c r="D62" s="117">
        <v>13000</v>
      </c>
      <c r="E62" s="21"/>
    </row>
    <row r="63" spans="2:5" ht="15.75" customHeight="1">
      <c r="B63" s="62">
        <v>4433</v>
      </c>
      <c r="C63" s="69" t="s">
        <v>74</v>
      </c>
      <c r="D63" s="117">
        <v>100</v>
      </c>
      <c r="E63" s="21"/>
    </row>
    <row r="64" spans="2:5" ht="25.5" customHeight="1">
      <c r="B64" s="67">
        <v>46</v>
      </c>
      <c r="C64" s="70" t="s">
        <v>45</v>
      </c>
      <c r="D64" s="113">
        <f>SUM(D65:D66)</f>
        <v>5100</v>
      </c>
      <c r="E64" s="21"/>
    </row>
    <row r="65" spans="2:5" ht="30.75" customHeight="1">
      <c r="B65" s="62">
        <v>4621</v>
      </c>
      <c r="C65" s="69" t="s">
        <v>75</v>
      </c>
      <c r="D65" s="117">
        <v>5000</v>
      </c>
      <c r="E65" s="21"/>
    </row>
    <row r="66" spans="2:5" ht="15.75" customHeight="1" thickBot="1">
      <c r="B66" s="60">
        <v>4622</v>
      </c>
      <c r="C66" s="71" t="s">
        <v>76</v>
      </c>
      <c r="D66" s="116">
        <v>100</v>
      </c>
      <c r="E66" s="21"/>
    </row>
    <row r="67" spans="2:5" ht="30" customHeight="1" thickBot="1">
      <c r="B67" s="182" t="s">
        <v>30</v>
      </c>
      <c r="C67" s="183"/>
      <c r="D67" s="120">
        <f>D20+D28+D58+D60+D64</f>
        <v>175017052</v>
      </c>
      <c r="E67" s="21"/>
    </row>
    <row r="68" spans="2:4" ht="14.25" customHeight="1">
      <c r="B68" s="16"/>
      <c r="C68" s="17"/>
      <c r="D68" s="87"/>
    </row>
    <row r="69" ht="15.75">
      <c r="D69" s="88"/>
    </row>
    <row r="70" s="1" customFormat="1" ht="21" customHeight="1">
      <c r="B70" s="10" t="s">
        <v>127</v>
      </c>
    </row>
    <row r="71" s="22" customFormat="1" ht="24.75" customHeight="1">
      <c r="B71" s="10" t="s">
        <v>128</v>
      </c>
    </row>
    <row r="72" spans="2:6" s="1" customFormat="1" ht="15">
      <c r="B72" s="23"/>
      <c r="D72" s="131" t="s">
        <v>68</v>
      </c>
      <c r="E72" s="140"/>
      <c r="F72" s="140"/>
    </row>
    <row r="73" spans="4:6" s="1" customFormat="1" ht="15">
      <c r="D73" s="131" t="s">
        <v>69</v>
      </c>
      <c r="E73" s="140"/>
      <c r="F73" s="140"/>
    </row>
  </sheetData>
  <sheetProtection password="EF44" sheet="1" objects="1" scenarios="1"/>
  <mergeCells count="17">
    <mergeCell ref="E72:F72"/>
    <mergeCell ref="E73:F73"/>
    <mergeCell ref="B9:C9"/>
    <mergeCell ref="B5:C5"/>
    <mergeCell ref="B4:C4"/>
    <mergeCell ref="B17:C17"/>
    <mergeCell ref="B67:C67"/>
    <mergeCell ref="B2:D2"/>
    <mergeCell ref="B8:C8"/>
    <mergeCell ref="B10:C10"/>
    <mergeCell ref="D18:D19"/>
    <mergeCell ref="B11:C11"/>
    <mergeCell ref="B12:C12"/>
    <mergeCell ref="B14:C14"/>
    <mergeCell ref="B15:C15"/>
    <mergeCell ref="B18:B19"/>
    <mergeCell ref="C18:C19"/>
  </mergeCells>
  <printOptions horizontalCentered="1"/>
  <pageMargins left="0.7086614173228347" right="0.7480314960629921" top="1.4960629921259843" bottom="1.062992125984252" header="0.7874015748031497" footer="0.5118110236220472"/>
  <pageSetup horizontalDpi="600" verticalDpi="600" orientation="portrait" paperSize="9" scale="49" r:id="rId2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  <rowBreaks count="1" manualBreakCount="1">
    <brk id="48" max="4" man="1"/>
  </rowBreaks>
  <ignoredErrors>
    <ignoredError sqref="D22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1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72"/>
      <c r="B1" s="72"/>
      <c r="C1" s="72"/>
      <c r="D1" s="72"/>
      <c r="E1" s="72"/>
    </row>
    <row r="2" spans="1:5" s="24" customFormat="1" ht="50.25" customHeight="1">
      <c r="A2" s="73"/>
      <c r="B2" s="197" t="s">
        <v>120</v>
      </c>
      <c r="C2" s="197"/>
      <c r="D2" s="197"/>
      <c r="E2" s="104"/>
    </row>
    <row r="3" spans="1:5" s="24" customFormat="1" ht="29.25" customHeight="1">
      <c r="A3" s="73"/>
      <c r="B3" s="104"/>
      <c r="C3" s="104"/>
      <c r="D3" s="104"/>
      <c r="E3" s="104"/>
    </row>
    <row r="4" spans="1:5" s="10" customFormat="1" ht="16.5" thickBot="1">
      <c r="A4" s="74"/>
      <c r="B4" s="75"/>
      <c r="C4" s="74"/>
      <c r="D4" s="86" t="s">
        <v>50</v>
      </c>
      <c r="E4" s="74"/>
    </row>
    <row r="5" spans="1:6" s="2" customFormat="1" ht="15.75">
      <c r="A5" s="21"/>
      <c r="B5" s="184" t="s">
        <v>62</v>
      </c>
      <c r="C5" s="186" t="s">
        <v>1</v>
      </c>
      <c r="D5" s="174" t="s">
        <v>82</v>
      </c>
      <c r="E5" s="106"/>
      <c r="F5" s="18"/>
    </row>
    <row r="6" spans="1:6" s="2" customFormat="1" ht="16.5" thickBot="1">
      <c r="A6" s="21"/>
      <c r="B6" s="194"/>
      <c r="C6" s="195"/>
      <c r="D6" s="196"/>
      <c r="E6" s="106"/>
      <c r="F6" s="18"/>
    </row>
    <row r="7" spans="1:6" s="2" customFormat="1" ht="34.5" customHeight="1">
      <c r="A7" s="21"/>
      <c r="B7" s="76" t="s">
        <v>53</v>
      </c>
      <c r="C7" s="66" t="s">
        <v>51</v>
      </c>
      <c r="D7" s="107">
        <f>SUM(D8)</f>
        <v>34000</v>
      </c>
      <c r="E7" s="106"/>
      <c r="F7" s="18"/>
    </row>
    <row r="8" spans="1:6" s="2" customFormat="1" ht="19.5" customHeight="1">
      <c r="A8" s="21"/>
      <c r="B8" s="77" t="s">
        <v>54</v>
      </c>
      <c r="C8" s="57" t="s">
        <v>52</v>
      </c>
      <c r="D8" s="64">
        <f>SUM(D9:D10)</f>
        <v>34000</v>
      </c>
      <c r="E8" s="106"/>
      <c r="F8" s="18"/>
    </row>
    <row r="9" spans="1:6" s="2" customFormat="1" ht="19.5" customHeight="1">
      <c r="A9" s="21"/>
      <c r="B9" s="78" t="s">
        <v>70</v>
      </c>
      <c r="C9" s="61" t="s">
        <v>71</v>
      </c>
      <c r="D9" s="129">
        <v>14000</v>
      </c>
      <c r="E9" s="106"/>
      <c r="F9" s="18"/>
    </row>
    <row r="10" spans="1:6" s="2" customFormat="1" ht="31.5" customHeight="1">
      <c r="A10" s="21"/>
      <c r="B10" s="78" t="s">
        <v>72</v>
      </c>
      <c r="C10" s="61" t="s">
        <v>73</v>
      </c>
      <c r="D10" s="129">
        <v>20000</v>
      </c>
      <c r="E10" s="106"/>
      <c r="F10" s="18"/>
    </row>
    <row r="11" spans="1:6" s="2" customFormat="1" ht="34.5" customHeight="1">
      <c r="A11" s="21"/>
      <c r="B11" s="77" t="s">
        <v>55</v>
      </c>
      <c r="C11" s="57" t="s">
        <v>56</v>
      </c>
      <c r="D11" s="64">
        <f>SUM(D12+D14)</f>
        <v>336000</v>
      </c>
      <c r="E11" s="106"/>
      <c r="F11" s="18"/>
    </row>
    <row r="12" spans="1:6" s="2" customFormat="1" ht="19.5" customHeight="1">
      <c r="A12" s="21"/>
      <c r="B12" s="77" t="s">
        <v>57</v>
      </c>
      <c r="C12" s="57" t="s">
        <v>58</v>
      </c>
      <c r="D12" s="64">
        <f>SUM(D13:D13)</f>
        <v>276000</v>
      </c>
      <c r="E12" s="106"/>
      <c r="F12" s="18"/>
    </row>
    <row r="13" spans="1:6" s="2" customFormat="1" ht="16.5" customHeight="1">
      <c r="A13" s="21"/>
      <c r="B13" s="79" t="s">
        <v>47</v>
      </c>
      <c r="C13" s="69" t="s">
        <v>61</v>
      </c>
      <c r="D13" s="28">
        <f>200000+30400+15200+15200+15200</f>
        <v>276000</v>
      </c>
      <c r="E13" s="106"/>
      <c r="F13" s="18"/>
    </row>
    <row r="14" spans="1:6" s="2" customFormat="1" ht="19.5" customHeight="1">
      <c r="A14" s="21"/>
      <c r="B14" s="77" t="s">
        <v>59</v>
      </c>
      <c r="C14" s="57" t="s">
        <v>60</v>
      </c>
      <c r="D14" s="108">
        <f>SUM(D15)</f>
        <v>60000</v>
      </c>
      <c r="E14" s="106"/>
      <c r="F14" s="18"/>
    </row>
    <row r="15" spans="1:6" s="2" customFormat="1" ht="16.5" customHeight="1" thickBot="1">
      <c r="A15" s="21"/>
      <c r="B15" s="80" t="s">
        <v>49</v>
      </c>
      <c r="C15" s="81" t="s">
        <v>48</v>
      </c>
      <c r="D15" s="130">
        <v>60000</v>
      </c>
      <c r="E15" s="106"/>
      <c r="F15" s="18"/>
    </row>
    <row r="16" spans="1:6" s="2" customFormat="1" ht="27" customHeight="1" thickBot="1">
      <c r="A16" s="21"/>
      <c r="B16" s="182" t="s">
        <v>63</v>
      </c>
      <c r="C16" s="183"/>
      <c r="D16" s="133">
        <f>D7+D11</f>
        <v>370000</v>
      </c>
      <c r="E16" s="106"/>
      <c r="F16" s="18"/>
    </row>
    <row r="17" spans="2:5" s="10" customFormat="1" ht="15.75">
      <c r="B17" s="19"/>
      <c r="C17" s="19"/>
      <c r="D17" s="19"/>
      <c r="E17" s="20"/>
    </row>
    <row r="18" spans="2:4" ht="18.75" customHeight="1">
      <c r="B18" s="23" t="s">
        <v>127</v>
      </c>
      <c r="C18" s="23"/>
      <c r="D18" s="23"/>
    </row>
    <row r="19" spans="2:4" ht="18.75" customHeight="1">
      <c r="B19" s="23" t="s">
        <v>128</v>
      </c>
      <c r="C19" s="23"/>
      <c r="D19" s="23"/>
    </row>
    <row r="20" spans="2:4" ht="12.75">
      <c r="B20" s="23"/>
      <c r="C20" s="23"/>
      <c r="D20" s="105" t="s">
        <v>68</v>
      </c>
    </row>
    <row r="21" spans="2:4" ht="12.75">
      <c r="B21" s="23"/>
      <c r="C21" s="23"/>
      <c r="D21" s="105" t="s">
        <v>69</v>
      </c>
    </row>
  </sheetData>
  <sheetProtection password="EF44" sheet="1" objects="1" scenarios="1"/>
  <mergeCells count="5">
    <mergeCell ref="B16:C16"/>
    <mergeCell ref="B5:B6"/>
    <mergeCell ref="C5:C6"/>
    <mergeCell ref="D5:D6"/>
    <mergeCell ref="B2:D2"/>
  </mergeCells>
  <printOptions horizontalCentered="1"/>
  <pageMargins left="0.7086614173228347" right="0.7086614173228347" top="1.968503937007874" bottom="0.7480314960629921" header="0.7086614173228347" footer="0.31496062992125984"/>
  <pageSetup horizontalDpi="600" verticalDpi="600" orientation="portrait" paperSize="9" scale="60" r:id="rId2"/>
  <headerFooter>
    <oddHeader>&amp;L&amp;G
Hrvatska zaklada za znanost
Ilica 24, 10000 Zagreb&amp;R
OIB 88776522763
IBAN HR3323600001101575620</oddHeader>
    <oddFooter>&amp;RFinancijski plan za 2016. godinu str. &amp;P od &amp;N</oddFooter>
  </headerFooter>
  <ignoredErrors>
    <ignoredError sqref="B7:B15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8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79.5" customHeight="1">
      <c r="B2" s="169" t="s">
        <v>117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21.75" customHeight="1">
      <c r="B8" s="170" t="s">
        <v>25</v>
      </c>
      <c r="C8" s="171"/>
      <c r="D8" s="26">
        <v>395500</v>
      </c>
      <c r="E8" s="21"/>
    </row>
    <row r="9" spans="2:5" ht="36" customHeight="1">
      <c r="B9" s="188" t="s">
        <v>114</v>
      </c>
      <c r="C9" s="189"/>
      <c r="D9" s="27">
        <f>168000000-3072799</f>
        <v>164927201</v>
      </c>
      <c r="E9" s="21"/>
    </row>
    <row r="10" spans="2:5" ht="18.75" customHeight="1">
      <c r="B10" s="172" t="s">
        <v>26</v>
      </c>
      <c r="C10" s="173"/>
      <c r="D10" s="27">
        <v>50000</v>
      </c>
      <c r="E10" s="21"/>
    </row>
    <row r="11" spans="2:5" ht="19.5" customHeight="1" thickBot="1">
      <c r="B11" s="176" t="s">
        <v>21</v>
      </c>
      <c r="C11" s="177"/>
      <c r="D11" s="28">
        <v>55000</v>
      </c>
      <c r="E11" s="21"/>
    </row>
    <row r="12" spans="2:5" ht="19.5" customHeight="1" thickBot="1">
      <c r="B12" s="198" t="s">
        <v>28</v>
      </c>
      <c r="C12" s="199"/>
      <c r="D12" s="122">
        <f>SUM(D8:D11)</f>
        <v>165427701</v>
      </c>
      <c r="E12" s="21"/>
    </row>
    <row r="13" spans="2:5" ht="19.5" customHeight="1" thickBot="1">
      <c r="B13" s="49"/>
      <c r="C13" s="49"/>
      <c r="D13" s="121"/>
      <c r="E13" s="44"/>
    </row>
    <row r="14" spans="2:5" ht="37.5" customHeight="1" thickBot="1">
      <c r="B14" s="180" t="s">
        <v>113</v>
      </c>
      <c r="C14" s="181"/>
      <c r="D14" s="48">
        <f>D67-D12</f>
        <v>-10325959</v>
      </c>
      <c r="E14" s="21"/>
    </row>
    <row r="15" spans="2:5" ht="19.5" customHeight="1" thickBot="1">
      <c r="B15" s="200" t="s">
        <v>29</v>
      </c>
      <c r="C15" s="201"/>
      <c r="D15" s="122">
        <f>D12+D14</f>
        <v>155101742</v>
      </c>
      <c r="E15" s="21"/>
    </row>
    <row r="16" spans="2:5" ht="19.5" customHeight="1">
      <c r="B16" s="50"/>
      <c r="C16" s="50"/>
      <c r="D16" s="50"/>
      <c r="E16" s="51"/>
    </row>
    <row r="17" spans="2:9" ht="45" customHeight="1" thickBot="1">
      <c r="B17" s="193" t="s">
        <v>64</v>
      </c>
      <c r="C17" s="193"/>
      <c r="D17" s="102" t="s">
        <v>50</v>
      </c>
      <c r="E17" s="45"/>
      <c r="I17" s="7"/>
    </row>
    <row r="18" spans="2:5" s="3" customFormat="1" ht="20.25" customHeight="1">
      <c r="B18" s="184" t="s">
        <v>22</v>
      </c>
      <c r="C18" s="186" t="s">
        <v>1</v>
      </c>
      <c r="D18" s="174" t="s">
        <v>101</v>
      </c>
      <c r="E18" s="52"/>
    </row>
    <row r="19" spans="2:5" s="3" customFormat="1" ht="27" customHeight="1">
      <c r="B19" s="185"/>
      <c r="C19" s="187"/>
      <c r="D19" s="175"/>
      <c r="E19" s="52"/>
    </row>
    <row r="20" spans="2:5" s="5" customFormat="1" ht="25.5" customHeight="1">
      <c r="B20" s="56">
        <v>41</v>
      </c>
      <c r="C20" s="57" t="s">
        <v>78</v>
      </c>
      <c r="D20" s="114">
        <f>D21+D23+D25</f>
        <v>3625606</v>
      </c>
      <c r="E20" s="55"/>
    </row>
    <row r="21" spans="2:5" s="5" customFormat="1" ht="21.75" customHeight="1">
      <c r="B21" s="56">
        <v>411</v>
      </c>
      <c r="C21" s="57" t="s">
        <v>2</v>
      </c>
      <c r="D21" s="114">
        <f>SUM(D22)</f>
        <v>3005293</v>
      </c>
      <c r="E21" s="55"/>
    </row>
    <row r="22" spans="2:5" ht="15.75" customHeight="1">
      <c r="B22" s="58">
        <v>4111</v>
      </c>
      <c r="C22" s="59" t="s">
        <v>3</v>
      </c>
      <c r="D22" s="115">
        <f>2523953+128500+75000+134437+90570+52833</f>
        <v>3005293</v>
      </c>
      <c r="E22" s="21"/>
    </row>
    <row r="23" spans="2:5" s="5" customFormat="1" ht="21.75" customHeight="1">
      <c r="B23" s="56">
        <v>412</v>
      </c>
      <c r="C23" s="57" t="s">
        <v>79</v>
      </c>
      <c r="D23" s="114">
        <f>SUM(D24)</f>
        <v>81500</v>
      </c>
      <c r="E23" s="55"/>
    </row>
    <row r="24" spans="2:5" ht="15.75" customHeight="1">
      <c r="B24" s="58">
        <v>4121</v>
      </c>
      <c r="C24" s="59" t="s">
        <v>79</v>
      </c>
      <c r="D24" s="115">
        <v>81500</v>
      </c>
      <c r="E24" s="21"/>
    </row>
    <row r="25" spans="2:5" s="5" customFormat="1" ht="21.75" customHeight="1">
      <c r="B25" s="56">
        <v>413</v>
      </c>
      <c r="C25" s="57" t="s">
        <v>4</v>
      </c>
      <c r="D25" s="114">
        <f>SUM(D26:D27)</f>
        <v>538813</v>
      </c>
      <c r="E25" s="55"/>
    </row>
    <row r="26" spans="2:5" ht="15.75" customHeight="1">
      <c r="B26" s="58">
        <v>4131</v>
      </c>
      <c r="C26" s="59" t="s">
        <v>5</v>
      </c>
      <c r="D26" s="115">
        <f>391213+19917+11620+20838+14038+8189</f>
        <v>465815</v>
      </c>
      <c r="E26" s="21"/>
    </row>
    <row r="27" spans="2:5" ht="15.75" customHeight="1">
      <c r="B27" s="58">
        <v>4132</v>
      </c>
      <c r="C27" s="59" t="s">
        <v>6</v>
      </c>
      <c r="D27" s="115">
        <f>53814+11000+2185+1274+2285+1540+900</f>
        <v>72998</v>
      </c>
      <c r="E27" s="21"/>
    </row>
    <row r="28" spans="2:5" s="5" customFormat="1" ht="25.5" customHeight="1">
      <c r="B28" s="56">
        <v>42</v>
      </c>
      <c r="C28" s="57" t="s">
        <v>7</v>
      </c>
      <c r="D28" s="114">
        <f>D29+D33+D36+D39+D49+D53</f>
        <v>151141936</v>
      </c>
      <c r="E28" s="55"/>
    </row>
    <row r="29" spans="2:5" s="5" customFormat="1" ht="21.75" customHeight="1">
      <c r="B29" s="56">
        <v>421</v>
      </c>
      <c r="C29" s="57" t="s">
        <v>32</v>
      </c>
      <c r="D29" s="114">
        <f>SUM(D30:D32)</f>
        <v>399600</v>
      </c>
      <c r="E29" s="55"/>
    </row>
    <row r="30" spans="2:5" ht="15.75" customHeight="1">
      <c r="B30" s="60">
        <v>4211</v>
      </c>
      <c r="C30" s="61" t="s">
        <v>8</v>
      </c>
      <c r="D30" s="116">
        <v>200000</v>
      </c>
      <c r="E30" s="21"/>
    </row>
    <row r="31" spans="2:5" ht="15.75" customHeight="1">
      <c r="B31" s="60">
        <v>4212</v>
      </c>
      <c r="C31" s="61" t="s">
        <v>9</v>
      </c>
      <c r="D31" s="116">
        <v>125000</v>
      </c>
      <c r="E31" s="21"/>
    </row>
    <row r="32" spans="2:5" ht="15.75" customHeight="1">
      <c r="B32" s="60">
        <v>4213</v>
      </c>
      <c r="C32" s="61" t="s">
        <v>77</v>
      </c>
      <c r="D32" s="116">
        <v>74600</v>
      </c>
      <c r="E32" s="21"/>
    </row>
    <row r="33" spans="2:5" ht="45.75" customHeight="1">
      <c r="B33" s="56">
        <v>422</v>
      </c>
      <c r="C33" s="57" t="s">
        <v>46</v>
      </c>
      <c r="D33" s="114">
        <f>SUM(D34:D35)</f>
        <v>277320</v>
      </c>
      <c r="E33" s="21"/>
    </row>
    <row r="34" spans="2:5" ht="30.75" customHeight="1">
      <c r="B34" s="60">
        <v>4221</v>
      </c>
      <c r="C34" s="61" t="s">
        <v>46</v>
      </c>
      <c r="D34" s="116">
        <v>157320</v>
      </c>
      <c r="E34" s="21"/>
    </row>
    <row r="35" spans="2:5" ht="15.75" customHeight="1">
      <c r="B35" s="60">
        <v>4222</v>
      </c>
      <c r="C35" s="61" t="s">
        <v>33</v>
      </c>
      <c r="D35" s="116">
        <v>120000</v>
      </c>
      <c r="E35" s="21"/>
    </row>
    <row r="36" spans="2:5" s="5" customFormat="1" ht="21.75" customHeight="1">
      <c r="B36" s="56">
        <v>424</v>
      </c>
      <c r="C36" s="57" t="s">
        <v>34</v>
      </c>
      <c r="D36" s="114">
        <f>SUM(D37:D38)</f>
        <v>1261000</v>
      </c>
      <c r="E36" s="55"/>
    </row>
    <row r="37" spans="2:5" ht="15.75" customHeight="1">
      <c r="B37" s="60">
        <v>4241</v>
      </c>
      <c r="C37" s="61" t="s">
        <v>35</v>
      </c>
      <c r="D37" s="116">
        <v>511000</v>
      </c>
      <c r="E37" s="21"/>
    </row>
    <row r="38" spans="2:5" ht="15.75" customHeight="1">
      <c r="B38" s="60">
        <v>4242</v>
      </c>
      <c r="C38" s="61" t="s">
        <v>33</v>
      </c>
      <c r="D38" s="116">
        <v>750000</v>
      </c>
      <c r="E38" s="21"/>
    </row>
    <row r="39" spans="2:5" s="5" customFormat="1" ht="21.75" customHeight="1">
      <c r="B39" s="56">
        <v>425</v>
      </c>
      <c r="C39" s="57" t="s">
        <v>13</v>
      </c>
      <c r="D39" s="114">
        <f>SUM(D40:D48)</f>
        <v>148950016</v>
      </c>
      <c r="E39" s="55"/>
    </row>
    <row r="40" spans="2:5" ht="15.75" customHeight="1">
      <c r="B40" s="60">
        <v>4251</v>
      </c>
      <c r="C40" s="61" t="s">
        <v>14</v>
      </c>
      <c r="D40" s="116">
        <v>65000</v>
      </c>
      <c r="E40" s="21"/>
    </row>
    <row r="41" spans="2:5" ht="15.75" customHeight="1">
      <c r="B41" s="60">
        <v>4252</v>
      </c>
      <c r="C41" s="61" t="s">
        <v>15</v>
      </c>
      <c r="D41" s="116">
        <v>14000</v>
      </c>
      <c r="E41" s="21"/>
    </row>
    <row r="42" spans="2:5" ht="15.75" customHeight="1">
      <c r="B42" s="60">
        <v>4253</v>
      </c>
      <c r="C42" s="61" t="s">
        <v>20</v>
      </c>
      <c r="D42" s="116">
        <v>25000</v>
      </c>
      <c r="E42" s="21"/>
    </row>
    <row r="43" spans="2:5" ht="15.75" customHeight="1">
      <c r="B43" s="60">
        <v>4254</v>
      </c>
      <c r="C43" s="61" t="s">
        <v>16</v>
      </c>
      <c r="D43" s="116">
        <v>11500</v>
      </c>
      <c r="E43" s="21"/>
    </row>
    <row r="44" spans="2:5" ht="15.75" customHeight="1">
      <c r="B44" s="60">
        <v>4255</v>
      </c>
      <c r="C44" s="61" t="s">
        <v>17</v>
      </c>
      <c r="D44" s="116">
        <v>106000</v>
      </c>
      <c r="E44" s="21"/>
    </row>
    <row r="45" spans="2:5" ht="15.75" customHeight="1">
      <c r="B45" s="60">
        <v>4256</v>
      </c>
      <c r="C45" s="61" t="s">
        <v>36</v>
      </c>
      <c r="D45" s="116">
        <v>35000</v>
      </c>
      <c r="E45" s="21"/>
    </row>
    <row r="46" spans="2:5" ht="15.75" customHeight="1">
      <c r="B46" s="60">
        <v>4257</v>
      </c>
      <c r="C46" s="61" t="s">
        <v>18</v>
      </c>
      <c r="D46" s="116">
        <v>5000</v>
      </c>
      <c r="E46" s="21"/>
    </row>
    <row r="47" spans="2:5" ht="15.75" customHeight="1">
      <c r="B47" s="62">
        <v>4258</v>
      </c>
      <c r="C47" s="63" t="s">
        <v>37</v>
      </c>
      <c r="D47" s="117">
        <v>560000</v>
      </c>
      <c r="E47" s="21"/>
    </row>
    <row r="48" spans="2:5" ht="15.75" customHeight="1">
      <c r="B48" s="60">
        <v>4259</v>
      </c>
      <c r="C48" s="61" t="s">
        <v>19</v>
      </c>
      <c r="D48" s="116">
        <f>357000+105698717+42072799</f>
        <v>148128516</v>
      </c>
      <c r="E48" s="21"/>
    </row>
    <row r="49" spans="2:5" s="5" customFormat="1" ht="21.75" customHeight="1">
      <c r="B49" s="56">
        <v>426</v>
      </c>
      <c r="C49" s="57" t="s">
        <v>10</v>
      </c>
      <c r="D49" s="114">
        <f>SUM(D50:D52)</f>
        <v>138000</v>
      </c>
      <c r="E49" s="55"/>
    </row>
    <row r="50" spans="2:5" ht="15.75" customHeight="1">
      <c r="B50" s="62">
        <v>4261</v>
      </c>
      <c r="C50" s="63" t="s">
        <v>11</v>
      </c>
      <c r="D50" s="117">
        <v>78000</v>
      </c>
      <c r="E50" s="21"/>
    </row>
    <row r="51" spans="2:5" ht="15.75" customHeight="1">
      <c r="B51" s="62">
        <v>4263</v>
      </c>
      <c r="C51" s="63" t="s">
        <v>12</v>
      </c>
      <c r="D51" s="117">
        <v>55000</v>
      </c>
      <c r="E51" s="21"/>
    </row>
    <row r="52" spans="2:5" ht="15.75" customHeight="1">
      <c r="B52" s="60">
        <v>4264</v>
      </c>
      <c r="C52" s="61" t="s">
        <v>80</v>
      </c>
      <c r="D52" s="116">
        <v>5000</v>
      </c>
      <c r="E52" s="21"/>
    </row>
    <row r="53" spans="2:5" s="5" customFormat="1" ht="21.75" customHeight="1">
      <c r="B53" s="65">
        <v>429</v>
      </c>
      <c r="C53" s="66" t="s">
        <v>38</v>
      </c>
      <c r="D53" s="118">
        <f>SUM(D54:D57)</f>
        <v>116000</v>
      </c>
      <c r="E53" s="55"/>
    </row>
    <row r="54" spans="2:5" ht="15.75" customHeight="1">
      <c r="B54" s="62">
        <v>4292</v>
      </c>
      <c r="C54" s="63" t="s">
        <v>40</v>
      </c>
      <c r="D54" s="117">
        <v>50000</v>
      </c>
      <c r="E54" s="21"/>
    </row>
    <row r="55" spans="2:5" ht="15.75" customHeight="1">
      <c r="B55" s="62">
        <v>4293</v>
      </c>
      <c r="C55" s="63" t="s">
        <v>41</v>
      </c>
      <c r="D55" s="117">
        <v>36000</v>
      </c>
      <c r="E55" s="21"/>
    </row>
    <row r="56" spans="2:5" ht="15.75" customHeight="1">
      <c r="B56" s="60">
        <v>4294</v>
      </c>
      <c r="C56" s="61" t="s">
        <v>42</v>
      </c>
      <c r="D56" s="116">
        <v>10000</v>
      </c>
      <c r="E56" s="21"/>
    </row>
    <row r="57" spans="2:5" ht="15.75" customHeight="1">
      <c r="B57" s="60">
        <v>4295</v>
      </c>
      <c r="C57" s="61" t="s">
        <v>103</v>
      </c>
      <c r="D57" s="116">
        <v>20000</v>
      </c>
      <c r="E57" s="21"/>
    </row>
    <row r="58" spans="2:5" ht="25.5" customHeight="1">
      <c r="B58" s="56">
        <v>43</v>
      </c>
      <c r="C58" s="57" t="s">
        <v>31</v>
      </c>
      <c r="D58" s="114">
        <f>SUM(D59)</f>
        <v>280000</v>
      </c>
      <c r="E58" s="21"/>
    </row>
    <row r="59" spans="2:5" ht="15.75" customHeight="1">
      <c r="B59" s="62">
        <v>4311</v>
      </c>
      <c r="C59" s="69" t="s">
        <v>39</v>
      </c>
      <c r="D59" s="117">
        <v>280000</v>
      </c>
      <c r="E59" s="21"/>
    </row>
    <row r="60" spans="2:5" ht="25.5" customHeight="1">
      <c r="B60" s="134">
        <v>44</v>
      </c>
      <c r="C60" s="135" t="s">
        <v>43</v>
      </c>
      <c r="D60" s="136">
        <f>SUM(D61:D63)</f>
        <v>49100</v>
      </c>
      <c r="E60" s="21"/>
    </row>
    <row r="61" spans="2:5" ht="15.75" customHeight="1">
      <c r="B61" s="62">
        <v>4431</v>
      </c>
      <c r="C61" s="69" t="s">
        <v>81</v>
      </c>
      <c r="D61" s="117">
        <v>36000</v>
      </c>
      <c r="E61" s="21"/>
    </row>
    <row r="62" spans="2:5" ht="15.75" customHeight="1">
      <c r="B62" s="62">
        <v>4432</v>
      </c>
      <c r="C62" s="69" t="s">
        <v>44</v>
      </c>
      <c r="D62" s="117">
        <v>13000</v>
      </c>
      <c r="E62" s="21"/>
    </row>
    <row r="63" spans="2:5" ht="15.75" customHeight="1">
      <c r="B63" s="62">
        <v>4433</v>
      </c>
      <c r="C63" s="69" t="s">
        <v>74</v>
      </c>
      <c r="D63" s="117">
        <v>100</v>
      </c>
      <c r="E63" s="21"/>
    </row>
    <row r="64" spans="2:5" ht="25.5" customHeight="1">
      <c r="B64" s="134">
        <v>46</v>
      </c>
      <c r="C64" s="137" t="s">
        <v>45</v>
      </c>
      <c r="D64" s="114">
        <f>SUM(D65:D66)</f>
        <v>5100</v>
      </c>
      <c r="E64" s="21"/>
    </row>
    <row r="65" spans="2:5" ht="30.75" customHeight="1">
      <c r="B65" s="62">
        <v>4621</v>
      </c>
      <c r="C65" s="69" t="s">
        <v>75</v>
      </c>
      <c r="D65" s="117">
        <v>5000</v>
      </c>
      <c r="E65" s="21"/>
    </row>
    <row r="66" spans="2:5" ht="15.75" customHeight="1" thickBot="1">
      <c r="B66" s="60">
        <v>4622</v>
      </c>
      <c r="C66" s="71" t="s">
        <v>76</v>
      </c>
      <c r="D66" s="116">
        <v>100</v>
      </c>
      <c r="E66" s="21"/>
    </row>
    <row r="67" spans="2:5" ht="30" customHeight="1" thickBot="1">
      <c r="B67" s="200" t="s">
        <v>30</v>
      </c>
      <c r="C67" s="201"/>
      <c r="D67" s="127">
        <f>D20+D28+D58+D60+D64</f>
        <v>155101742</v>
      </c>
      <c r="E67" s="21"/>
    </row>
    <row r="68" spans="2:4" ht="14.25" customHeight="1">
      <c r="B68" s="16"/>
      <c r="C68" s="17"/>
      <c r="D68" s="87"/>
    </row>
    <row r="69" ht="15.75">
      <c r="D69" s="88"/>
    </row>
    <row r="70" spans="2:4" ht="42.75" customHeight="1" thickBot="1">
      <c r="B70" s="193" t="s">
        <v>109</v>
      </c>
      <c r="C70" s="193"/>
      <c r="D70" s="102" t="s">
        <v>50</v>
      </c>
    </row>
    <row r="71" spans="2:4" ht="15.75" customHeight="1">
      <c r="B71" s="184" t="s">
        <v>62</v>
      </c>
      <c r="C71" s="186" t="s">
        <v>1</v>
      </c>
      <c r="D71" s="174" t="s">
        <v>82</v>
      </c>
    </row>
    <row r="72" spans="2:4" ht="16.5" thickBot="1">
      <c r="B72" s="194"/>
      <c r="C72" s="195"/>
      <c r="D72" s="196"/>
    </row>
    <row r="73" spans="2:4" ht="15.75">
      <c r="B73" s="76" t="s">
        <v>53</v>
      </c>
      <c r="C73" s="66" t="s">
        <v>51</v>
      </c>
      <c r="D73" s="107">
        <f>SUM(D74)</f>
        <v>34000</v>
      </c>
    </row>
    <row r="74" spans="2:4" ht="15.75">
      <c r="B74" s="77" t="s">
        <v>54</v>
      </c>
      <c r="C74" s="57" t="s">
        <v>52</v>
      </c>
      <c r="D74" s="64">
        <f>SUM(D75:D76)</f>
        <v>34000</v>
      </c>
    </row>
    <row r="75" spans="2:4" ht="15.75">
      <c r="B75" s="78" t="s">
        <v>70</v>
      </c>
      <c r="C75" s="61" t="s">
        <v>71</v>
      </c>
      <c r="D75" s="129">
        <v>14000</v>
      </c>
    </row>
    <row r="76" spans="2:4" ht="15.75">
      <c r="B76" s="78" t="s">
        <v>72</v>
      </c>
      <c r="C76" s="61" t="s">
        <v>73</v>
      </c>
      <c r="D76" s="129">
        <v>20000</v>
      </c>
    </row>
    <row r="77" spans="2:4" ht="15.75">
      <c r="B77" s="77" t="s">
        <v>55</v>
      </c>
      <c r="C77" s="57" t="s">
        <v>56</v>
      </c>
      <c r="D77" s="64">
        <f>SUM(D78+D80)</f>
        <v>260000</v>
      </c>
    </row>
    <row r="78" spans="2:4" ht="15.75">
      <c r="B78" s="77" t="s">
        <v>57</v>
      </c>
      <c r="C78" s="57" t="s">
        <v>58</v>
      </c>
      <c r="D78" s="64">
        <f>SUM(D79:D79)</f>
        <v>200000</v>
      </c>
    </row>
    <row r="79" spans="2:4" ht="15.75">
      <c r="B79" s="79" t="s">
        <v>47</v>
      </c>
      <c r="C79" s="69" t="s">
        <v>61</v>
      </c>
      <c r="D79" s="28">
        <v>200000</v>
      </c>
    </row>
    <row r="80" spans="2:4" ht="15.75">
      <c r="B80" s="77" t="s">
        <v>59</v>
      </c>
      <c r="C80" s="57" t="s">
        <v>60</v>
      </c>
      <c r="D80" s="108">
        <f>SUM(D81)</f>
        <v>60000</v>
      </c>
    </row>
    <row r="81" spans="2:4" ht="16.5" thickBot="1">
      <c r="B81" s="80" t="s">
        <v>49</v>
      </c>
      <c r="C81" s="81" t="s">
        <v>48</v>
      </c>
      <c r="D81" s="130">
        <v>60000</v>
      </c>
    </row>
    <row r="82" spans="2:4" ht="16.5" thickBot="1">
      <c r="B82" s="200" t="s">
        <v>63</v>
      </c>
      <c r="C82" s="201"/>
      <c r="D82" s="109">
        <f>D73+D77</f>
        <v>294000</v>
      </c>
    </row>
    <row r="84" s="1" customFormat="1" ht="21" customHeight="1">
      <c r="B84" s="10" t="s">
        <v>127</v>
      </c>
    </row>
    <row r="85" s="22" customFormat="1" ht="24.75" customHeight="1">
      <c r="B85" s="10" t="s">
        <v>128</v>
      </c>
    </row>
    <row r="86" spans="2:6" s="1" customFormat="1" ht="15">
      <c r="B86" s="23"/>
      <c r="D86" s="131" t="s">
        <v>68</v>
      </c>
      <c r="E86" s="140"/>
      <c r="F86" s="140"/>
    </row>
    <row r="87" spans="4:6" s="1" customFormat="1" ht="15">
      <c r="D87" s="131" t="s">
        <v>69</v>
      </c>
      <c r="E87" s="140"/>
      <c r="F87" s="140"/>
    </row>
  </sheetData>
  <sheetProtection password="EF44" sheet="1" objects="1" scenarios="1"/>
  <mergeCells count="22">
    <mergeCell ref="E86:F86"/>
    <mergeCell ref="E87:F87"/>
    <mergeCell ref="B71:B72"/>
    <mergeCell ref="C71:C72"/>
    <mergeCell ref="D71:D72"/>
    <mergeCell ref="B82:C82"/>
    <mergeCell ref="B70:C70"/>
    <mergeCell ref="B2:D2"/>
    <mergeCell ref="B4:C4"/>
    <mergeCell ref="B5:C5"/>
    <mergeCell ref="B8:C8"/>
    <mergeCell ref="B9:C9"/>
    <mergeCell ref="B14:C14"/>
    <mergeCell ref="B10:C10"/>
    <mergeCell ref="D18:D19"/>
    <mergeCell ref="B67:C67"/>
    <mergeCell ref="B11:C11"/>
    <mergeCell ref="B12:C12"/>
    <mergeCell ref="B15:C15"/>
    <mergeCell ref="B17:C17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  <rowBreaks count="1" manualBreakCount="1">
    <brk id="38" max="4" man="1"/>
  </rowBreaks>
  <ignoredErrors>
    <ignoredError sqref="B73:B81" numberStoredAsText="1"/>
    <ignoredError sqref="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3"/>
  <sheetViews>
    <sheetView zoomScale="80" zoomScaleNormal="80" zoomScalePageLayoutView="0" workbookViewId="0" topLeftCell="A1">
      <selection activeCell="C40" sqref="C40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2.25" customHeight="1">
      <c r="B2" s="169" t="s">
        <v>121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35.25" customHeight="1" thickBot="1">
      <c r="B8" s="188" t="s">
        <v>104</v>
      </c>
      <c r="C8" s="189"/>
      <c r="D8" s="27">
        <v>558000</v>
      </c>
      <c r="E8" s="21"/>
    </row>
    <row r="9" spans="2:5" ht="19.5" customHeight="1" thickBot="1">
      <c r="B9" s="200" t="s">
        <v>29</v>
      </c>
      <c r="C9" s="201"/>
      <c r="D9" s="122">
        <f>SUM(D8:D8)</f>
        <v>558000</v>
      </c>
      <c r="E9" s="21"/>
    </row>
    <row r="10" spans="2:5" ht="19.5" customHeight="1">
      <c r="B10" s="49"/>
      <c r="C10" s="49"/>
      <c r="D10" s="121"/>
      <c r="E10" s="44"/>
    </row>
    <row r="11" spans="2:9" ht="4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27" customHeight="1">
      <c r="B13" s="185"/>
      <c r="C13" s="187"/>
      <c r="D13" s="175"/>
      <c r="E13" s="52"/>
    </row>
    <row r="14" spans="2:5" s="5" customFormat="1" ht="25.5" customHeight="1">
      <c r="B14" s="56">
        <v>42</v>
      </c>
      <c r="C14" s="57" t="s">
        <v>7</v>
      </c>
      <c r="D14" s="114">
        <f>D15+D18+D21+D24+D26</f>
        <v>558000</v>
      </c>
      <c r="E14" s="55"/>
    </row>
    <row r="15" spans="2:5" s="5" customFormat="1" ht="21.75" customHeight="1">
      <c r="B15" s="56">
        <v>421</v>
      </c>
      <c r="C15" s="57" t="s">
        <v>32</v>
      </c>
      <c r="D15" s="114">
        <f>SUM(D16:D17)</f>
        <v>68800</v>
      </c>
      <c r="E15" s="55"/>
    </row>
    <row r="16" spans="2:5" ht="15.75" customHeight="1">
      <c r="B16" s="60">
        <v>4211</v>
      </c>
      <c r="C16" s="61" t="s">
        <v>8</v>
      </c>
      <c r="D16" s="116">
        <v>30000</v>
      </c>
      <c r="E16" s="21"/>
    </row>
    <row r="17" spans="2:5" ht="15.75" customHeight="1">
      <c r="B17" s="60">
        <v>4213</v>
      </c>
      <c r="C17" s="61" t="s">
        <v>77</v>
      </c>
      <c r="D17" s="116">
        <v>38800</v>
      </c>
      <c r="E17" s="21"/>
    </row>
    <row r="18" spans="2:5" ht="45.75" customHeight="1">
      <c r="B18" s="56">
        <v>422</v>
      </c>
      <c r="C18" s="57" t="s">
        <v>46</v>
      </c>
      <c r="D18" s="114">
        <f>SUM(D19:D20)</f>
        <v>85000</v>
      </c>
      <c r="E18" s="21"/>
    </row>
    <row r="19" spans="2:5" ht="30.75" customHeight="1">
      <c r="B19" s="60">
        <v>4221</v>
      </c>
      <c r="C19" s="61" t="s">
        <v>46</v>
      </c>
      <c r="D19" s="116">
        <v>51000</v>
      </c>
      <c r="E19" s="21"/>
    </row>
    <row r="20" spans="2:5" ht="15.75" customHeight="1">
      <c r="B20" s="60">
        <v>4222</v>
      </c>
      <c r="C20" s="61" t="s">
        <v>33</v>
      </c>
      <c r="D20" s="116">
        <v>34000</v>
      </c>
      <c r="E20" s="21"/>
    </row>
    <row r="21" spans="2:5" s="5" customFormat="1" ht="21.75" customHeight="1">
      <c r="B21" s="56">
        <v>424</v>
      </c>
      <c r="C21" s="57" t="s">
        <v>34</v>
      </c>
      <c r="D21" s="114">
        <f>SUM(D22:D23)</f>
        <v>281000</v>
      </c>
      <c r="E21" s="55"/>
    </row>
    <row r="22" spans="2:5" ht="15.75" customHeight="1">
      <c r="B22" s="60">
        <v>4241</v>
      </c>
      <c r="C22" s="61" t="s">
        <v>35</v>
      </c>
      <c r="D22" s="116">
        <v>251000</v>
      </c>
      <c r="E22" s="21"/>
    </row>
    <row r="23" spans="2:5" ht="15.75" customHeight="1">
      <c r="B23" s="60">
        <v>4242</v>
      </c>
      <c r="C23" s="61" t="s">
        <v>33</v>
      </c>
      <c r="D23" s="116">
        <v>30000</v>
      </c>
      <c r="E23" s="21"/>
    </row>
    <row r="24" spans="2:5" s="5" customFormat="1" ht="21.75" customHeight="1">
      <c r="B24" s="56">
        <v>425</v>
      </c>
      <c r="C24" s="57" t="s">
        <v>13</v>
      </c>
      <c r="D24" s="114">
        <f>SUM(D25:D25)</f>
        <v>77000</v>
      </c>
      <c r="E24" s="55"/>
    </row>
    <row r="25" spans="2:5" ht="15.75" customHeight="1">
      <c r="B25" s="60">
        <v>4258</v>
      </c>
      <c r="C25" s="61" t="s">
        <v>37</v>
      </c>
      <c r="D25" s="116">
        <v>77000</v>
      </c>
      <c r="E25" s="21"/>
    </row>
    <row r="26" spans="2:5" s="5" customFormat="1" ht="21.75" customHeight="1">
      <c r="B26" s="65">
        <v>429</v>
      </c>
      <c r="C26" s="66" t="s">
        <v>38</v>
      </c>
      <c r="D26" s="118">
        <f>SUM(D27:D27)</f>
        <v>46200</v>
      </c>
      <c r="E26" s="55"/>
    </row>
    <row r="27" spans="2:5" ht="15.75" customHeight="1" thickBot="1">
      <c r="B27" s="60">
        <v>4294</v>
      </c>
      <c r="C27" s="61" t="s">
        <v>42</v>
      </c>
      <c r="D27" s="116">
        <v>46200</v>
      </c>
      <c r="E27" s="21"/>
    </row>
    <row r="28" spans="2:5" ht="30" customHeight="1" thickBot="1">
      <c r="B28" s="200" t="s">
        <v>30</v>
      </c>
      <c r="C28" s="201"/>
      <c r="D28" s="127">
        <f>D14</f>
        <v>558000</v>
      </c>
      <c r="E28" s="21"/>
    </row>
    <row r="29" spans="2:4" ht="14.25" customHeight="1">
      <c r="B29" s="16"/>
      <c r="C29" s="17"/>
      <c r="D29" s="87"/>
    </row>
    <row r="30" spans="2:4" ht="32.25" customHeight="1">
      <c r="B30" s="10" t="s">
        <v>127</v>
      </c>
      <c r="C30" s="100"/>
      <c r="D30" s="87"/>
    </row>
    <row r="31" spans="2:4" s="21" customFormat="1" ht="46.5" customHeight="1">
      <c r="B31" s="10" t="s">
        <v>128</v>
      </c>
      <c r="C31" s="101"/>
      <c r="D31" s="99" t="s">
        <v>89</v>
      </c>
    </row>
    <row r="32" ht="15.75">
      <c r="D32" s="99"/>
    </row>
    <row r="33" ht="15.75">
      <c r="D33" s="88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28:C28"/>
    <mergeCell ref="B9:C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4"/>
  <sheetViews>
    <sheetView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79.5" customHeight="1">
      <c r="B2" s="169" t="s">
        <v>122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18.75" customHeight="1" thickBot="1">
      <c r="B8" s="172" t="s">
        <v>26</v>
      </c>
      <c r="C8" s="173"/>
      <c r="D8" s="27">
        <v>17000000</v>
      </c>
      <c r="E8" s="21"/>
    </row>
    <row r="9" spans="2:5" ht="19.5" customHeight="1" thickBot="1">
      <c r="B9" s="200" t="s">
        <v>29</v>
      </c>
      <c r="C9" s="201"/>
      <c r="D9" s="122">
        <f>SUM(D8:D8)</f>
        <v>17000000</v>
      </c>
      <c r="E9" s="21"/>
    </row>
    <row r="10" spans="2:5" ht="19.5" customHeight="1">
      <c r="B10" s="49"/>
      <c r="C10" s="49"/>
      <c r="D10" s="121"/>
      <c r="E10" s="44"/>
    </row>
    <row r="11" spans="2:9" ht="36.7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13.5" customHeight="1">
      <c r="B13" s="185"/>
      <c r="C13" s="187"/>
      <c r="D13" s="175"/>
      <c r="E13" s="52"/>
    </row>
    <row r="14" spans="2:5" s="5" customFormat="1" ht="25.5" customHeight="1">
      <c r="B14" s="56">
        <v>42</v>
      </c>
      <c r="C14" s="57" t="s">
        <v>7</v>
      </c>
      <c r="D14" s="114">
        <f>D15+D17</f>
        <v>17000000</v>
      </c>
      <c r="E14" s="55"/>
    </row>
    <row r="15" spans="2:5" s="5" customFormat="1" ht="21.75" customHeight="1">
      <c r="B15" s="56">
        <v>424</v>
      </c>
      <c r="C15" s="57" t="s">
        <v>34</v>
      </c>
      <c r="D15" s="114">
        <f>SUM(D16:D16)</f>
        <v>280000</v>
      </c>
      <c r="E15" s="55"/>
    </row>
    <row r="16" spans="2:5" ht="15.75" customHeight="1">
      <c r="B16" s="60">
        <v>4241</v>
      </c>
      <c r="C16" s="61" t="s">
        <v>35</v>
      </c>
      <c r="D16" s="116">
        <v>280000</v>
      </c>
      <c r="E16" s="21"/>
    </row>
    <row r="17" spans="2:5" s="5" customFormat="1" ht="21.75" customHeight="1">
      <c r="B17" s="56">
        <v>425</v>
      </c>
      <c r="C17" s="57" t="s">
        <v>13</v>
      </c>
      <c r="D17" s="114">
        <f>SUM(D18:D18)</f>
        <v>16720000</v>
      </c>
      <c r="E17" s="55"/>
    </row>
    <row r="18" spans="2:5" ht="15.75" customHeight="1" thickBot="1">
      <c r="B18" s="60">
        <v>4259</v>
      </c>
      <c r="C18" s="61" t="s">
        <v>105</v>
      </c>
      <c r="D18" s="116">
        <v>16720000</v>
      </c>
      <c r="E18" s="21"/>
    </row>
    <row r="19" spans="2:5" ht="30" customHeight="1" thickBot="1">
      <c r="B19" s="200" t="s">
        <v>30</v>
      </c>
      <c r="C19" s="201"/>
      <c r="D19" s="127">
        <f>D14</f>
        <v>17000000</v>
      </c>
      <c r="E19" s="21"/>
    </row>
    <row r="20" spans="2:4" ht="14.25" customHeight="1">
      <c r="B20" s="16"/>
      <c r="C20" s="17"/>
      <c r="D20" s="87"/>
    </row>
    <row r="21" spans="2:4" ht="32.25" customHeight="1">
      <c r="B21" s="10" t="s">
        <v>127</v>
      </c>
      <c r="C21" s="100"/>
      <c r="D21" s="87"/>
    </row>
    <row r="22" spans="2:4" s="21" customFormat="1" ht="46.5" customHeight="1">
      <c r="B22" s="10" t="s">
        <v>128</v>
      </c>
      <c r="C22" s="101"/>
      <c r="D22" s="99" t="s">
        <v>89</v>
      </c>
    </row>
    <row r="23" ht="15.75">
      <c r="D23" s="88"/>
    </row>
    <row r="24" ht="15.75">
      <c r="D24" s="88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19:C19"/>
    <mergeCell ref="B9:C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M4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50.25" customHeight="1">
      <c r="B2" s="169" t="s">
        <v>106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18.75" customHeight="1" thickBot="1">
      <c r="B8" s="172" t="s">
        <v>26</v>
      </c>
      <c r="C8" s="173"/>
      <c r="D8" s="27">
        <v>6026496</v>
      </c>
      <c r="E8" s="21"/>
    </row>
    <row r="9" spans="2:5" ht="19.5" customHeight="1" thickBot="1">
      <c r="B9" s="200" t="s">
        <v>29</v>
      </c>
      <c r="C9" s="201"/>
      <c r="D9" s="122">
        <f>SUM(D8:D8)</f>
        <v>6026496</v>
      </c>
      <c r="E9" s="21"/>
    </row>
    <row r="10" spans="2:5" ht="19.5" customHeight="1">
      <c r="B10" s="49"/>
      <c r="C10" s="49"/>
      <c r="D10" s="121"/>
      <c r="E10" s="44"/>
    </row>
    <row r="11" spans="2:9" ht="38.2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16.5" customHeight="1">
      <c r="B13" s="185"/>
      <c r="C13" s="187"/>
      <c r="D13" s="175"/>
      <c r="E13" s="52"/>
    </row>
    <row r="14" spans="2:5" s="5" customFormat="1" ht="25.5" customHeight="1">
      <c r="B14" s="56">
        <v>41</v>
      </c>
      <c r="C14" s="57" t="s">
        <v>78</v>
      </c>
      <c r="D14" s="114">
        <f>D15+D17</f>
        <v>164159.58000000002</v>
      </c>
      <c r="E14" s="55"/>
    </row>
    <row r="15" spans="2:5" s="5" customFormat="1" ht="21.75" customHeight="1">
      <c r="B15" s="56">
        <v>411</v>
      </c>
      <c r="C15" s="57" t="s">
        <v>2</v>
      </c>
      <c r="D15" s="114">
        <f>SUM(D16)</f>
        <v>140068</v>
      </c>
      <c r="E15" s="55"/>
    </row>
    <row r="16" spans="2:5" ht="15.75" customHeight="1">
      <c r="B16" s="58">
        <v>4111</v>
      </c>
      <c r="C16" s="59" t="s">
        <v>3</v>
      </c>
      <c r="D16" s="115">
        <v>140068</v>
      </c>
      <c r="E16" s="21"/>
    </row>
    <row r="17" spans="2:5" s="5" customFormat="1" ht="21.75" customHeight="1">
      <c r="B17" s="56">
        <v>413</v>
      </c>
      <c r="C17" s="57" t="s">
        <v>4</v>
      </c>
      <c r="D17" s="114">
        <f>SUM(D18:D19)</f>
        <v>24091.58</v>
      </c>
      <c r="E17" s="55"/>
    </row>
    <row r="18" spans="2:5" ht="15.75" customHeight="1">
      <c r="B18" s="58">
        <v>4131</v>
      </c>
      <c r="C18" s="59" t="s">
        <v>5</v>
      </c>
      <c r="D18" s="115">
        <v>21710.58</v>
      </c>
      <c r="E18" s="21"/>
    </row>
    <row r="19" spans="2:5" ht="15.75" customHeight="1">
      <c r="B19" s="58">
        <v>4132</v>
      </c>
      <c r="C19" s="59" t="s">
        <v>6</v>
      </c>
      <c r="D19" s="115">
        <v>2381</v>
      </c>
      <c r="E19" s="21"/>
    </row>
    <row r="20" spans="2:5" s="5" customFormat="1" ht="25.5" customHeight="1">
      <c r="B20" s="56">
        <v>42</v>
      </c>
      <c r="C20" s="57" t="s">
        <v>7</v>
      </c>
      <c r="D20" s="114">
        <f>D21+D23+D25</f>
        <v>111720</v>
      </c>
      <c r="E20" s="55"/>
    </row>
    <row r="21" spans="2:5" s="5" customFormat="1" ht="21.75" customHeight="1">
      <c r="B21" s="56">
        <v>424</v>
      </c>
      <c r="C21" s="57" t="s">
        <v>34</v>
      </c>
      <c r="D21" s="114">
        <f>SUM(D22:D22)</f>
        <v>91200</v>
      </c>
      <c r="E21" s="55"/>
    </row>
    <row r="22" spans="2:5" ht="15.75" customHeight="1">
      <c r="B22" s="60">
        <v>4241</v>
      </c>
      <c r="C22" s="61" t="s">
        <v>35</v>
      </c>
      <c r="D22" s="116">
        <v>91200</v>
      </c>
      <c r="E22" s="21"/>
    </row>
    <row r="23" spans="2:5" s="5" customFormat="1" ht="21.75" customHeight="1">
      <c r="B23" s="56">
        <v>425</v>
      </c>
      <c r="C23" s="57" t="s">
        <v>13</v>
      </c>
      <c r="D23" s="114">
        <f>SUM(D24:D24)</f>
        <v>8200</v>
      </c>
      <c r="E23" s="55"/>
    </row>
    <row r="24" spans="2:5" ht="15.75" customHeight="1">
      <c r="B24" s="60">
        <v>4251</v>
      </c>
      <c r="C24" s="61" t="s">
        <v>14</v>
      </c>
      <c r="D24" s="116">
        <v>8200</v>
      </c>
      <c r="E24" s="21"/>
    </row>
    <row r="25" spans="2:5" s="5" customFormat="1" ht="21.75" customHeight="1">
      <c r="B25" s="56">
        <v>426</v>
      </c>
      <c r="C25" s="57" t="s">
        <v>10</v>
      </c>
      <c r="D25" s="114">
        <f>SUM(D26:D28)</f>
        <v>12320</v>
      </c>
      <c r="E25" s="55"/>
    </row>
    <row r="26" spans="2:5" ht="15.75" customHeight="1">
      <c r="B26" s="62">
        <v>4261</v>
      </c>
      <c r="C26" s="63" t="s">
        <v>11</v>
      </c>
      <c r="D26" s="117">
        <v>5955</v>
      </c>
      <c r="E26" s="21"/>
    </row>
    <row r="27" spans="2:5" ht="15.75" customHeight="1">
      <c r="B27" s="62">
        <v>4263</v>
      </c>
      <c r="C27" s="63" t="s">
        <v>12</v>
      </c>
      <c r="D27" s="117">
        <v>5750</v>
      </c>
      <c r="E27" s="21"/>
    </row>
    <row r="28" spans="2:5" ht="15.75" customHeight="1" thickBot="1">
      <c r="B28" s="60">
        <v>4264</v>
      </c>
      <c r="C28" s="61" t="s">
        <v>80</v>
      </c>
      <c r="D28" s="116">
        <v>615</v>
      </c>
      <c r="E28" s="21"/>
    </row>
    <row r="29" spans="2:5" ht="30" customHeight="1" thickBot="1">
      <c r="B29" s="200" t="s">
        <v>30</v>
      </c>
      <c r="C29" s="201"/>
      <c r="D29" s="127">
        <f>D14+D20</f>
        <v>275879.58</v>
      </c>
      <c r="E29" s="21"/>
    </row>
    <row r="30" spans="2:4" ht="18" customHeight="1">
      <c r="B30" s="16"/>
      <c r="C30" s="17"/>
      <c r="D30" s="87"/>
    </row>
    <row r="31" spans="2:9" ht="45" customHeight="1" thickBot="1">
      <c r="B31" s="193" t="s">
        <v>109</v>
      </c>
      <c r="C31" s="193"/>
      <c r="D31" s="102" t="s">
        <v>50</v>
      </c>
      <c r="E31" s="45"/>
      <c r="I31" s="7"/>
    </row>
    <row r="32" spans="2:5" ht="19.5" customHeight="1">
      <c r="B32" s="184" t="s">
        <v>62</v>
      </c>
      <c r="C32" s="186" t="s">
        <v>1</v>
      </c>
      <c r="D32" s="174" t="s">
        <v>101</v>
      </c>
      <c r="E32" s="21"/>
    </row>
    <row r="33" spans="2:4" ht="18.75" customHeight="1" thickBot="1">
      <c r="B33" s="194"/>
      <c r="C33" s="195"/>
      <c r="D33" s="196"/>
    </row>
    <row r="34" spans="2:4" ht="15.75">
      <c r="B34" s="77" t="s">
        <v>57</v>
      </c>
      <c r="C34" s="57" t="s">
        <v>58</v>
      </c>
      <c r="D34" s="64">
        <f>SUM(D35:D35)</f>
        <v>30400</v>
      </c>
    </row>
    <row r="35" spans="2:4" ht="16.5" thickBot="1">
      <c r="B35" s="79" t="s">
        <v>47</v>
      </c>
      <c r="C35" s="69" t="s">
        <v>61</v>
      </c>
      <c r="D35" s="28">
        <v>30400</v>
      </c>
    </row>
    <row r="36" spans="2:4" ht="16.5" thickBot="1">
      <c r="B36" s="200" t="s">
        <v>63</v>
      </c>
      <c r="C36" s="201"/>
      <c r="D36" s="109">
        <f>D34</f>
        <v>30400</v>
      </c>
    </row>
    <row r="38" ht="16.5" thickBot="1"/>
    <row r="39" spans="2:4" ht="23.25" customHeight="1" thickBot="1">
      <c r="B39" s="198" t="s">
        <v>107</v>
      </c>
      <c r="C39" s="199"/>
      <c r="D39" s="122">
        <f>D9-D29-D36</f>
        <v>5720216.42</v>
      </c>
    </row>
    <row r="42" spans="2:4" ht="32.25" customHeight="1">
      <c r="B42" s="10" t="s">
        <v>127</v>
      </c>
      <c r="C42" s="100"/>
      <c r="D42" s="87"/>
    </row>
    <row r="43" spans="2:4" s="21" customFormat="1" ht="46.5" customHeight="1">
      <c r="B43" s="10" t="s">
        <v>128</v>
      </c>
      <c r="C43" s="101"/>
      <c r="D43" s="99" t="s">
        <v>89</v>
      </c>
    </row>
  </sheetData>
  <sheetProtection password="EF44" sheet="1" objects="1" scenarios="1"/>
  <mergeCells count="16">
    <mergeCell ref="D32:D33"/>
    <mergeCell ref="B36:C36"/>
    <mergeCell ref="B2:D2"/>
    <mergeCell ref="B4:C4"/>
    <mergeCell ref="B5:C5"/>
    <mergeCell ref="B8:C8"/>
    <mergeCell ref="B32:B33"/>
    <mergeCell ref="C32:C33"/>
    <mergeCell ref="B31:C31"/>
    <mergeCell ref="D12:D13"/>
    <mergeCell ref="B29:C29"/>
    <mergeCell ref="B9:C9"/>
    <mergeCell ref="B39:C3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  <ignoredErrors>
    <ignoredError sqref="B34:B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M4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55.5" customHeight="1">
      <c r="B2" s="169" t="s">
        <v>108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18.75" customHeight="1" thickBot="1">
      <c r="B8" s="172" t="s">
        <v>26</v>
      </c>
      <c r="C8" s="173"/>
      <c r="D8" s="27">
        <v>278967.5</v>
      </c>
      <c r="E8" s="21"/>
    </row>
    <row r="9" spans="2:5" ht="19.5" customHeight="1" thickBot="1">
      <c r="B9" s="200" t="s">
        <v>29</v>
      </c>
      <c r="C9" s="201"/>
      <c r="D9" s="122">
        <f>SUM(D8:D8)</f>
        <v>278967.5</v>
      </c>
      <c r="E9" s="21"/>
    </row>
    <row r="10" spans="2:5" ht="27" customHeight="1">
      <c r="B10" s="49"/>
      <c r="C10" s="49"/>
      <c r="D10" s="121"/>
      <c r="E10" s="44"/>
    </row>
    <row r="11" spans="2:9" ht="35.2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14.25" customHeight="1">
      <c r="B13" s="185"/>
      <c r="C13" s="187"/>
      <c r="D13" s="175"/>
      <c r="E13" s="52"/>
    </row>
    <row r="14" spans="2:5" s="5" customFormat="1" ht="25.5" customHeight="1">
      <c r="B14" s="56">
        <v>41</v>
      </c>
      <c r="C14" s="57" t="s">
        <v>78</v>
      </c>
      <c r="D14" s="114">
        <f>D15+D17</f>
        <v>72959.58</v>
      </c>
      <c r="E14" s="55"/>
    </row>
    <row r="15" spans="2:5" s="5" customFormat="1" ht="21.75" customHeight="1">
      <c r="B15" s="56">
        <v>411</v>
      </c>
      <c r="C15" s="57" t="s">
        <v>2</v>
      </c>
      <c r="D15" s="114">
        <f>SUM(D16)</f>
        <v>62252.58</v>
      </c>
      <c r="E15" s="55"/>
    </row>
    <row r="16" spans="2:5" ht="15.75" customHeight="1">
      <c r="B16" s="58">
        <v>4111</v>
      </c>
      <c r="C16" s="59" t="s">
        <v>3</v>
      </c>
      <c r="D16" s="115">
        <v>62252.58</v>
      </c>
      <c r="E16" s="21"/>
    </row>
    <row r="17" spans="2:5" s="5" customFormat="1" ht="21.75" customHeight="1">
      <c r="B17" s="56">
        <v>413</v>
      </c>
      <c r="C17" s="57" t="s">
        <v>4</v>
      </c>
      <c r="D17" s="114">
        <f>SUM(D18:D19)</f>
        <v>10707</v>
      </c>
      <c r="E17" s="55"/>
    </row>
    <row r="18" spans="2:5" ht="15.75" customHeight="1">
      <c r="B18" s="58">
        <v>4131</v>
      </c>
      <c r="C18" s="59" t="s">
        <v>5</v>
      </c>
      <c r="D18" s="115">
        <v>9649</v>
      </c>
      <c r="E18" s="21"/>
    </row>
    <row r="19" spans="2:5" ht="15.75" customHeight="1">
      <c r="B19" s="58">
        <v>4132</v>
      </c>
      <c r="C19" s="59" t="s">
        <v>6</v>
      </c>
      <c r="D19" s="115">
        <v>1058</v>
      </c>
      <c r="E19" s="21"/>
    </row>
    <row r="20" spans="2:5" s="5" customFormat="1" ht="25.5" customHeight="1">
      <c r="B20" s="56">
        <v>42</v>
      </c>
      <c r="C20" s="57" t="s">
        <v>7</v>
      </c>
      <c r="D20" s="114">
        <f>D21+D23+D25</f>
        <v>33440</v>
      </c>
      <c r="E20" s="55"/>
    </row>
    <row r="21" spans="2:5" s="5" customFormat="1" ht="21.75" customHeight="1">
      <c r="B21" s="56">
        <v>421</v>
      </c>
      <c r="C21" s="57" t="s">
        <v>32</v>
      </c>
      <c r="D21" s="114">
        <f>SUM(D22:D22)</f>
        <v>12920</v>
      </c>
      <c r="E21" s="55"/>
    </row>
    <row r="22" spans="2:5" ht="15.75" customHeight="1">
      <c r="B22" s="60">
        <v>4211</v>
      </c>
      <c r="C22" s="61" t="s">
        <v>8</v>
      </c>
      <c r="D22" s="116">
        <v>12920</v>
      </c>
      <c r="E22" s="21"/>
    </row>
    <row r="23" spans="2:5" s="5" customFormat="1" ht="21.75" customHeight="1">
      <c r="B23" s="56">
        <v>425</v>
      </c>
      <c r="C23" s="57" t="s">
        <v>13</v>
      </c>
      <c r="D23" s="114">
        <f>SUM(D24:D24)</f>
        <v>8200</v>
      </c>
      <c r="E23" s="55"/>
    </row>
    <row r="24" spans="2:5" ht="15.75" customHeight="1">
      <c r="B24" s="60">
        <v>4251</v>
      </c>
      <c r="C24" s="61" t="s">
        <v>14</v>
      </c>
      <c r="D24" s="116">
        <v>8200</v>
      </c>
      <c r="E24" s="21"/>
    </row>
    <row r="25" spans="2:5" ht="15.75" customHeight="1">
      <c r="B25" s="56">
        <v>426</v>
      </c>
      <c r="C25" s="57" t="s">
        <v>10</v>
      </c>
      <c r="D25" s="114">
        <f>SUM(D26:D28)</f>
        <v>12320</v>
      </c>
      <c r="E25" s="21"/>
    </row>
    <row r="26" spans="2:5" ht="15.75" customHeight="1">
      <c r="B26" s="62">
        <v>4261</v>
      </c>
      <c r="C26" s="63" t="s">
        <v>11</v>
      </c>
      <c r="D26" s="117">
        <v>5955</v>
      </c>
      <c r="E26" s="21"/>
    </row>
    <row r="27" spans="2:5" ht="15.75" customHeight="1">
      <c r="B27" s="62">
        <v>4263</v>
      </c>
      <c r="C27" s="63" t="s">
        <v>12</v>
      </c>
      <c r="D27" s="117">
        <v>5750</v>
      </c>
      <c r="E27" s="21"/>
    </row>
    <row r="28" spans="2:5" ht="15.75" customHeight="1" thickBot="1">
      <c r="B28" s="60">
        <v>4264</v>
      </c>
      <c r="C28" s="61" t="s">
        <v>80</v>
      </c>
      <c r="D28" s="116">
        <v>615</v>
      </c>
      <c r="E28" s="21"/>
    </row>
    <row r="29" spans="2:5" ht="30" customHeight="1" thickBot="1">
      <c r="B29" s="200" t="s">
        <v>30</v>
      </c>
      <c r="C29" s="201"/>
      <c r="D29" s="127">
        <f>D14+D20</f>
        <v>106399.58</v>
      </c>
      <c r="E29" s="21"/>
    </row>
    <row r="30" spans="2:5" ht="18" customHeight="1">
      <c r="B30" s="123"/>
      <c r="C30" s="124"/>
      <c r="D30" s="125"/>
      <c r="E30" s="21"/>
    </row>
    <row r="31" spans="2:9" ht="45" customHeight="1" thickBot="1">
      <c r="B31" s="193" t="s">
        <v>109</v>
      </c>
      <c r="C31" s="193"/>
      <c r="D31" s="102" t="s">
        <v>50</v>
      </c>
      <c r="E31" s="45"/>
      <c r="I31" s="7"/>
    </row>
    <row r="32" spans="2:5" ht="19.5" customHeight="1">
      <c r="B32" s="184" t="s">
        <v>62</v>
      </c>
      <c r="C32" s="186" t="s">
        <v>1</v>
      </c>
      <c r="D32" s="174" t="s">
        <v>101</v>
      </c>
      <c r="E32" s="21"/>
    </row>
    <row r="33" spans="2:4" ht="18" customHeight="1" thickBot="1">
      <c r="B33" s="194"/>
      <c r="C33" s="195"/>
      <c r="D33" s="196"/>
    </row>
    <row r="34" spans="2:4" ht="15.75">
      <c r="B34" s="77" t="s">
        <v>57</v>
      </c>
      <c r="C34" s="57" t="s">
        <v>58</v>
      </c>
      <c r="D34" s="64">
        <f>SUM(D35:D35)</f>
        <v>15200</v>
      </c>
    </row>
    <row r="35" spans="2:4" ht="16.5" thickBot="1">
      <c r="B35" s="79" t="s">
        <v>47</v>
      </c>
      <c r="C35" s="69" t="s">
        <v>61</v>
      </c>
      <c r="D35" s="28">
        <v>15200</v>
      </c>
    </row>
    <row r="36" spans="2:4" ht="16.5" thickBot="1">
      <c r="B36" s="200" t="s">
        <v>63</v>
      </c>
      <c r="C36" s="201"/>
      <c r="D36" s="109">
        <f>D34</f>
        <v>15200</v>
      </c>
    </row>
    <row r="38" ht="16.5" thickBot="1"/>
    <row r="39" spans="2:4" ht="23.25" customHeight="1" thickBot="1">
      <c r="B39" s="198" t="s">
        <v>107</v>
      </c>
      <c r="C39" s="199"/>
      <c r="D39" s="122">
        <f>D9-D29-D36</f>
        <v>157367.91999999998</v>
      </c>
    </row>
    <row r="42" spans="2:4" ht="32.25" customHeight="1">
      <c r="B42" s="10" t="s">
        <v>127</v>
      </c>
      <c r="C42" s="100"/>
      <c r="D42" s="87"/>
    </row>
    <row r="43" spans="2:4" s="21" customFormat="1" ht="46.5" customHeight="1">
      <c r="B43" s="10" t="s">
        <v>128</v>
      </c>
      <c r="C43" s="101"/>
      <c r="D43" s="99" t="s">
        <v>89</v>
      </c>
    </row>
  </sheetData>
  <sheetProtection password="EF44" sheet="1" objects="1" scenarios="1"/>
  <mergeCells count="16">
    <mergeCell ref="B31:C31"/>
    <mergeCell ref="B32:B33"/>
    <mergeCell ref="C32:C33"/>
    <mergeCell ref="D32:D33"/>
    <mergeCell ref="B36:C36"/>
    <mergeCell ref="B39:C39"/>
    <mergeCell ref="B2:D2"/>
    <mergeCell ref="B4:C4"/>
    <mergeCell ref="B5:C5"/>
    <mergeCell ref="B8:C8"/>
    <mergeCell ref="D12:D13"/>
    <mergeCell ref="B29:C29"/>
    <mergeCell ref="B9:C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  <ignoredErrors>
    <ignoredError sqref="B34:B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46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0" customHeight="1">
      <c r="B2" s="169" t="s">
        <v>110</v>
      </c>
      <c r="C2" s="169"/>
      <c r="D2" s="169"/>
      <c r="E2" s="9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91" t="s">
        <v>90</v>
      </c>
      <c r="C4" s="192"/>
      <c r="D4" s="103" t="s">
        <v>23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43"/>
      <c r="E5" s="21"/>
    </row>
    <row r="6" spans="2:5" ht="41.25" customHeight="1" thickBot="1">
      <c r="B6" s="44"/>
      <c r="C6" s="44"/>
      <c r="D6" s="102" t="s">
        <v>50</v>
      </c>
      <c r="E6" s="21"/>
    </row>
    <row r="7" spans="2:5" ht="30.75" customHeight="1" thickBot="1">
      <c r="B7" s="46" t="s">
        <v>27</v>
      </c>
      <c r="C7" s="47"/>
      <c r="D7" s="126" t="s">
        <v>101</v>
      </c>
      <c r="E7" s="21"/>
    </row>
    <row r="8" spans="2:5" ht="18.75" customHeight="1" thickBot="1">
      <c r="B8" s="188" t="s">
        <v>66</v>
      </c>
      <c r="C8" s="189"/>
      <c r="D8" s="27">
        <v>41040000</v>
      </c>
      <c r="E8" s="21"/>
    </row>
    <row r="9" spans="2:5" ht="19.5" customHeight="1" thickBot="1">
      <c r="B9" s="200" t="s">
        <v>29</v>
      </c>
      <c r="C9" s="201"/>
      <c r="D9" s="122">
        <f>SUM(D8:D8)</f>
        <v>41040000</v>
      </c>
      <c r="E9" s="21"/>
    </row>
    <row r="10" spans="2:5" ht="19.5" customHeight="1">
      <c r="B10" s="49"/>
      <c r="C10" s="49"/>
      <c r="D10" s="121"/>
      <c r="E10" s="44"/>
    </row>
    <row r="11" spans="2:9" ht="36.75" customHeight="1" thickBot="1">
      <c r="B11" s="193" t="s">
        <v>64</v>
      </c>
      <c r="C11" s="193"/>
      <c r="D11" s="102" t="s">
        <v>50</v>
      </c>
      <c r="E11" s="45"/>
      <c r="I11" s="7"/>
    </row>
    <row r="12" spans="2:5" s="3" customFormat="1" ht="20.25" customHeight="1">
      <c r="B12" s="184" t="s">
        <v>22</v>
      </c>
      <c r="C12" s="186" t="s">
        <v>1</v>
      </c>
      <c r="D12" s="174" t="s">
        <v>101</v>
      </c>
      <c r="E12" s="52"/>
    </row>
    <row r="13" spans="2:5" s="3" customFormat="1" ht="16.5" customHeight="1">
      <c r="B13" s="185"/>
      <c r="C13" s="187"/>
      <c r="D13" s="175"/>
      <c r="E13" s="52"/>
    </row>
    <row r="14" spans="2:5" s="5" customFormat="1" ht="25.5" customHeight="1">
      <c r="B14" s="56">
        <v>41</v>
      </c>
      <c r="C14" s="57" t="s">
        <v>78</v>
      </c>
      <c r="D14" s="114">
        <f>D15+D17</f>
        <v>291840</v>
      </c>
      <c r="E14" s="55"/>
    </row>
    <row r="15" spans="2:5" s="5" customFormat="1" ht="21.75" customHeight="1">
      <c r="B15" s="56">
        <v>411</v>
      </c>
      <c r="C15" s="57" t="s">
        <v>2</v>
      </c>
      <c r="D15" s="114">
        <f>SUM(D16)</f>
        <v>249010</v>
      </c>
      <c r="E15" s="55"/>
    </row>
    <row r="16" spans="2:5" ht="15.75" customHeight="1">
      <c r="B16" s="58">
        <v>4111</v>
      </c>
      <c r="C16" s="59" t="s">
        <v>3</v>
      </c>
      <c r="D16" s="115">
        <v>249010</v>
      </c>
      <c r="E16" s="21"/>
    </row>
    <row r="17" spans="2:5" s="5" customFormat="1" ht="21.75" customHeight="1">
      <c r="B17" s="56">
        <v>413</v>
      </c>
      <c r="C17" s="57" t="s">
        <v>4</v>
      </c>
      <c r="D17" s="114">
        <f>SUM(D18:D19)</f>
        <v>42830</v>
      </c>
      <c r="E17" s="55"/>
    </row>
    <row r="18" spans="2:5" ht="15.75" customHeight="1">
      <c r="B18" s="58">
        <v>4131</v>
      </c>
      <c r="C18" s="59" t="s">
        <v>5</v>
      </c>
      <c r="D18" s="115">
        <v>38597</v>
      </c>
      <c r="E18" s="21"/>
    </row>
    <row r="19" spans="2:5" ht="15.75" customHeight="1">
      <c r="B19" s="58">
        <v>4132</v>
      </c>
      <c r="C19" s="59" t="s">
        <v>6</v>
      </c>
      <c r="D19" s="115">
        <v>4233</v>
      </c>
      <c r="E19" s="21"/>
    </row>
    <row r="20" spans="2:5" s="5" customFormat="1" ht="25.5" customHeight="1">
      <c r="B20" s="56">
        <v>42</v>
      </c>
      <c r="C20" s="57" t="s">
        <v>7</v>
      </c>
      <c r="D20" s="114">
        <f>D21+D23+D25+D29</f>
        <v>1487300</v>
      </c>
      <c r="E20" s="55"/>
    </row>
    <row r="21" spans="2:5" s="5" customFormat="1" ht="21.75" customHeight="1">
      <c r="B21" s="56">
        <v>421</v>
      </c>
      <c r="C21" s="57" t="s">
        <v>32</v>
      </c>
      <c r="D21" s="114">
        <f>SUM(D22:D22)</f>
        <v>12920</v>
      </c>
      <c r="E21" s="55"/>
    </row>
    <row r="22" spans="2:5" ht="15.75" customHeight="1">
      <c r="B22" s="60">
        <v>4211</v>
      </c>
      <c r="C22" s="61" t="s">
        <v>8</v>
      </c>
      <c r="D22" s="116">
        <v>12920</v>
      </c>
      <c r="E22" s="21"/>
    </row>
    <row r="23" spans="2:5" s="5" customFormat="1" ht="21.75" customHeight="1">
      <c r="B23" s="56">
        <v>424</v>
      </c>
      <c r="C23" s="57" t="s">
        <v>34</v>
      </c>
      <c r="D23" s="114">
        <f>SUM(D24:D24)</f>
        <v>1282500</v>
      </c>
      <c r="E23" s="55"/>
    </row>
    <row r="24" spans="2:5" ht="15.75" customHeight="1">
      <c r="B24" s="60">
        <v>4241</v>
      </c>
      <c r="C24" s="61" t="s">
        <v>35</v>
      </c>
      <c r="D24" s="116">
        <v>1282500</v>
      </c>
      <c r="E24" s="21"/>
    </row>
    <row r="25" spans="2:5" s="5" customFormat="1" ht="21.75" customHeight="1">
      <c r="B25" s="56">
        <v>425</v>
      </c>
      <c r="C25" s="57" t="s">
        <v>13</v>
      </c>
      <c r="D25" s="114">
        <f>SUM(D26:D28)</f>
        <v>184480</v>
      </c>
      <c r="E25" s="55"/>
    </row>
    <row r="26" spans="2:5" ht="15.75" customHeight="1">
      <c r="B26" s="60">
        <v>4251</v>
      </c>
      <c r="C26" s="61" t="s">
        <v>14</v>
      </c>
      <c r="D26" s="116">
        <v>4200</v>
      </c>
      <c r="E26" s="21"/>
    </row>
    <row r="27" spans="2:5" ht="15.75" customHeight="1">
      <c r="B27" s="60">
        <v>4253</v>
      </c>
      <c r="C27" s="61" t="s">
        <v>20</v>
      </c>
      <c r="D27" s="116">
        <v>180000</v>
      </c>
      <c r="E27" s="21"/>
    </row>
    <row r="28" spans="2:5" ht="15.75" customHeight="1">
      <c r="B28" s="60">
        <v>4254</v>
      </c>
      <c r="C28" s="61" t="s">
        <v>16</v>
      </c>
      <c r="D28" s="116">
        <v>280</v>
      </c>
      <c r="E28" s="21"/>
    </row>
    <row r="29" spans="2:5" s="5" customFormat="1" ht="21.75" customHeight="1">
      <c r="B29" s="56">
        <v>426</v>
      </c>
      <c r="C29" s="57" t="s">
        <v>10</v>
      </c>
      <c r="D29" s="114">
        <f>SUM(D30:D31)</f>
        <v>7400</v>
      </c>
      <c r="E29" s="55"/>
    </row>
    <row r="30" spans="2:5" ht="15.75" customHeight="1">
      <c r="B30" s="62">
        <v>4261</v>
      </c>
      <c r="C30" s="63" t="s">
        <v>11</v>
      </c>
      <c r="D30" s="117">
        <v>4000</v>
      </c>
      <c r="E30" s="21"/>
    </row>
    <row r="31" spans="2:5" ht="15.75" customHeight="1" thickBot="1">
      <c r="B31" s="62">
        <v>4263</v>
      </c>
      <c r="C31" s="63" t="s">
        <v>12</v>
      </c>
      <c r="D31" s="117">
        <v>3400</v>
      </c>
      <c r="E31" s="21"/>
    </row>
    <row r="32" spans="2:5" ht="30" customHeight="1" thickBot="1">
      <c r="B32" s="200" t="s">
        <v>30</v>
      </c>
      <c r="C32" s="201"/>
      <c r="D32" s="127">
        <f>D14+D20</f>
        <v>1779140</v>
      </c>
      <c r="E32" s="21"/>
    </row>
    <row r="33" spans="2:4" ht="14.25" customHeight="1">
      <c r="B33" s="16"/>
      <c r="C33" s="17"/>
      <c r="D33" s="87"/>
    </row>
    <row r="34" spans="2:9" ht="45" customHeight="1" thickBot="1">
      <c r="B34" s="193" t="s">
        <v>109</v>
      </c>
      <c r="C34" s="193"/>
      <c r="D34" s="102" t="s">
        <v>50</v>
      </c>
      <c r="E34" s="45"/>
      <c r="I34" s="7"/>
    </row>
    <row r="35" spans="2:5" ht="19.5" customHeight="1">
      <c r="B35" s="184" t="s">
        <v>62</v>
      </c>
      <c r="C35" s="186" t="s">
        <v>1</v>
      </c>
      <c r="D35" s="174" t="s">
        <v>101</v>
      </c>
      <c r="E35" s="21"/>
    </row>
    <row r="36" spans="2:4" ht="21.75" customHeight="1" thickBot="1">
      <c r="B36" s="194"/>
      <c r="C36" s="195"/>
      <c r="D36" s="196"/>
    </row>
    <row r="37" spans="2:4" ht="15.75">
      <c r="B37" s="77" t="s">
        <v>57</v>
      </c>
      <c r="C37" s="57" t="s">
        <v>58</v>
      </c>
      <c r="D37" s="64">
        <f>SUM(D38:D38)</f>
        <v>15200</v>
      </c>
    </row>
    <row r="38" spans="2:4" ht="16.5" thickBot="1">
      <c r="B38" s="79" t="s">
        <v>47</v>
      </c>
      <c r="C38" s="69" t="s">
        <v>61</v>
      </c>
      <c r="D38" s="28">
        <v>15200</v>
      </c>
    </row>
    <row r="39" spans="2:4" ht="16.5" thickBot="1">
      <c r="B39" s="200" t="s">
        <v>63</v>
      </c>
      <c r="C39" s="201"/>
      <c r="D39" s="109">
        <f>D37</f>
        <v>15200</v>
      </c>
    </row>
    <row r="41" ht="16.5" thickBot="1"/>
    <row r="42" spans="2:4" ht="23.25" customHeight="1" thickBot="1">
      <c r="B42" s="198" t="s">
        <v>107</v>
      </c>
      <c r="C42" s="199"/>
      <c r="D42" s="122">
        <f>D9-D32-D39</f>
        <v>39245660</v>
      </c>
    </row>
    <row r="45" spans="2:4" ht="32.25" customHeight="1">
      <c r="B45" s="10" t="s">
        <v>127</v>
      </c>
      <c r="C45" s="100"/>
      <c r="D45" s="87"/>
    </row>
    <row r="46" spans="2:4" s="21" customFormat="1" ht="46.5" customHeight="1">
      <c r="B46" s="10" t="s">
        <v>128</v>
      </c>
      <c r="C46" s="101"/>
      <c r="D46" s="99" t="s">
        <v>89</v>
      </c>
    </row>
  </sheetData>
  <sheetProtection password="EF44" sheet="1" objects="1" scenarios="1"/>
  <mergeCells count="16">
    <mergeCell ref="B34:C34"/>
    <mergeCell ref="B35:B36"/>
    <mergeCell ref="C35:C36"/>
    <mergeCell ref="D35:D36"/>
    <mergeCell ref="B39:C39"/>
    <mergeCell ref="B42:C42"/>
    <mergeCell ref="B2:D2"/>
    <mergeCell ref="B4:C4"/>
    <mergeCell ref="B5:C5"/>
    <mergeCell ref="B8:C8"/>
    <mergeCell ref="D12:D13"/>
    <mergeCell ref="B32:C32"/>
    <mergeCell ref="B9:C9"/>
    <mergeCell ref="B11:C11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&amp;L
Hrvatska zaklada za znanost
Ilica 24, 10000 Zagreb&amp;R
OIB 88776522763
IBAN HR3323600001101575620</oddHeader>
    <oddFooter>&amp;RFinancijski plan za 2016. godinu str. &amp;P of &amp;N</oddFooter>
  </headerFooter>
  <ignoredErrors>
    <ignoredError sqref="B37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Maša Ursaria Maras</cp:lastModifiedBy>
  <cp:lastPrinted>2015-12-06T14:05:49Z</cp:lastPrinted>
  <dcterms:created xsi:type="dcterms:W3CDTF">1996-10-14T23:33:28Z</dcterms:created>
  <dcterms:modified xsi:type="dcterms:W3CDTF">2020-09-08T07:48:15Z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